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315" windowWidth="15480" windowHeight="9345" tabRatio="793"/>
  </bookViews>
  <sheets>
    <sheet name="Summary Estimate" sheetId="10" r:id="rId1"/>
    <sheet name="MSU 4 Campus Cost Sharing" sheetId="9" r:id="rId2"/>
    <sheet name="Hardware Maintenance Summary" sheetId="6" r:id="rId3"/>
    <sheet name="Software Licensing" sheetId="4" r:id="rId4"/>
    <sheet name="Comuter Classrooms" sheetId="3" r:id="rId5"/>
    <sheet name="FacultyStaff Computer Schedule" sheetId="13" r:id="rId6"/>
    <sheet name="Servers" sheetId="5" r:id="rId7"/>
    <sheet name="Routers And Switches" sheetId="1" r:id="rId8"/>
    <sheet name="Wireless" sheetId="2" r:id="rId9"/>
    <sheet name="Smartnet Detailed" sheetId="8" r:id="rId10"/>
    <sheet name="MS Campus Agreement Detailed" sheetId="7" r:id="rId11"/>
    <sheet name="Chargeback Models" sheetId="11" r:id="rId12"/>
    <sheet name="Network &amp; Wireless Upgrade EST" sheetId="14" r:id="rId13"/>
  </sheets>
  <definedNames>
    <definedName name="_xlnm._FilterDatabase" localSheetId="7" hidden="1">'Routers And Switches'!$A$1:$R$1</definedName>
  </definedNames>
  <calcPr calcId="152511"/>
</workbook>
</file>

<file path=xl/calcChain.xml><?xml version="1.0" encoding="utf-8"?>
<calcChain xmlns="http://schemas.openxmlformats.org/spreadsheetml/2006/main">
  <c r="D112" i="9" l="1"/>
  <c r="E111" i="9"/>
  <c r="D111" i="9"/>
  <c r="D110" i="9"/>
  <c r="F109" i="9"/>
  <c r="D109" i="9"/>
  <c r="F107" i="9"/>
  <c r="C107" i="9"/>
  <c r="B107" i="9" s="1"/>
  <c r="F105" i="9"/>
  <c r="F110" i="9" s="1"/>
  <c r="E105" i="9"/>
  <c r="E112" i="9" s="1"/>
  <c r="D105" i="9"/>
  <c r="C105" i="9"/>
  <c r="C111" i="9" s="1"/>
  <c r="B104" i="9"/>
  <c r="B103" i="9"/>
  <c r="B105" i="9" s="1"/>
  <c r="B102" i="9"/>
  <c r="B101" i="9"/>
  <c r="B88" i="9"/>
  <c r="B89" i="9" s="1"/>
  <c r="B87" i="9"/>
  <c r="B86" i="9"/>
  <c r="B85" i="9"/>
  <c r="B84" i="9"/>
  <c r="B83" i="9"/>
  <c r="B74" i="9"/>
  <c r="B72" i="9"/>
  <c r="B71" i="9"/>
  <c r="B77" i="9" s="1"/>
  <c r="Q66" i="9"/>
  <c r="G59" i="9"/>
  <c r="F58" i="9"/>
  <c r="G58" i="9" s="1"/>
  <c r="G57" i="9"/>
  <c r="F57" i="9"/>
  <c r="F56" i="9"/>
  <c r="G56" i="9" s="1"/>
  <c r="G53" i="9"/>
  <c r="F52" i="9"/>
  <c r="G52" i="9" s="1"/>
  <c r="G51" i="9"/>
  <c r="F50" i="9"/>
  <c r="E50" i="9"/>
  <c r="G50" i="9" s="1"/>
  <c r="F49" i="9"/>
  <c r="G49" i="9" s="1"/>
  <c r="B49" i="9"/>
  <c r="F46" i="9"/>
  <c r="E46" i="9"/>
  <c r="D46" i="9"/>
  <c r="C46" i="9"/>
  <c r="G46" i="9" s="1"/>
  <c r="G43" i="9"/>
  <c r="B42" i="9"/>
  <c r="F41" i="9"/>
  <c r="G41" i="9" s="1"/>
  <c r="B41" i="9"/>
  <c r="F39" i="9"/>
  <c r="G39" i="9" s="1"/>
  <c r="D39" i="9"/>
  <c r="C39" i="9"/>
  <c r="G37" i="9"/>
  <c r="E33" i="9"/>
  <c r="D33" i="9"/>
  <c r="C33" i="9"/>
  <c r="F32" i="9"/>
  <c r="G32" i="9" s="1"/>
  <c r="G31" i="9"/>
  <c r="F31" i="9"/>
  <c r="K30" i="9"/>
  <c r="Q30" i="9" s="1"/>
  <c r="B24" i="9"/>
  <c r="G23" i="9"/>
  <c r="F23" i="9"/>
  <c r="E23" i="9"/>
  <c r="D23" i="9"/>
  <c r="F22" i="9"/>
  <c r="E22" i="9"/>
  <c r="D22" i="9"/>
  <c r="U11" i="9" s="1"/>
  <c r="B22" i="9"/>
  <c r="B25" i="9" s="1"/>
  <c r="E21" i="9"/>
  <c r="D21" i="9"/>
  <c r="E14" i="9"/>
  <c r="D14" i="9"/>
  <c r="E13" i="9"/>
  <c r="E15" i="9" s="1"/>
  <c r="E16" i="9" s="1"/>
  <c r="D13" i="9"/>
  <c r="D15" i="9" s="1"/>
  <c r="D16" i="9" s="1"/>
  <c r="C13" i="9"/>
  <c r="U12" i="9"/>
  <c r="J12" i="9"/>
  <c r="G12" i="9"/>
  <c r="G11" i="9"/>
  <c r="G10" i="9"/>
  <c r="F9" i="9"/>
  <c r="F13" i="9" s="1"/>
  <c r="F14" i="9" l="1"/>
  <c r="G14" i="9" s="1"/>
  <c r="F15" i="9"/>
  <c r="F16" i="9" s="1"/>
  <c r="B111" i="9"/>
  <c r="D120" i="9" s="1"/>
  <c r="F115" i="9"/>
  <c r="E115" i="9"/>
  <c r="F42" i="9"/>
  <c r="D115" i="9"/>
  <c r="E72" i="9"/>
  <c r="F74" i="9"/>
  <c r="B112" i="9"/>
  <c r="D121" i="9" s="1"/>
  <c r="F116" i="9"/>
  <c r="G13" i="9"/>
  <c r="D77" i="9"/>
  <c r="E77" i="9"/>
  <c r="F77" i="9"/>
  <c r="F89" i="9"/>
  <c r="E89" i="9"/>
  <c r="D89" i="9"/>
  <c r="C15" i="9"/>
  <c r="D24" i="9"/>
  <c r="F24" i="9" s="1"/>
  <c r="F30" i="9"/>
  <c r="C108" i="9"/>
  <c r="C116" i="9"/>
  <c r="D25" i="9"/>
  <c r="G9" i="9"/>
  <c r="G22" i="9"/>
  <c r="E24" i="9"/>
  <c r="E25" i="9" s="1"/>
  <c r="D42" i="9"/>
  <c r="E108" i="9"/>
  <c r="E110" i="9"/>
  <c r="C24" i="9"/>
  <c r="B26" i="9"/>
  <c r="E42" i="9"/>
  <c r="B78" i="9"/>
  <c r="F108" i="9"/>
  <c r="F21" i="9"/>
  <c r="D72" i="9"/>
  <c r="C115" i="9"/>
  <c r="C42" i="9" s="1"/>
  <c r="G42" i="9" s="1"/>
  <c r="C109" i="9"/>
  <c r="B121" i="9" l="1"/>
  <c r="C25" i="9"/>
  <c r="C26" i="9"/>
  <c r="G24" i="9"/>
  <c r="B116" i="9"/>
  <c r="C89" i="9"/>
  <c r="C120" i="9"/>
  <c r="B109" i="9"/>
  <c r="B110" i="9"/>
  <c r="E117" i="9"/>
  <c r="E90" i="9"/>
  <c r="E91" i="9" s="1"/>
  <c r="E120" i="9"/>
  <c r="D26" i="9"/>
  <c r="C71" i="9"/>
  <c r="C47" i="9"/>
  <c r="C40" i="9"/>
  <c r="C38" i="9"/>
  <c r="C55" i="9"/>
  <c r="B115" i="9"/>
  <c r="C75" i="9"/>
  <c r="C72" i="9"/>
  <c r="C76" i="9"/>
  <c r="G76" i="9" s="1"/>
  <c r="C60" i="9"/>
  <c r="C48" i="9"/>
  <c r="C44" i="9"/>
  <c r="C66" i="9"/>
  <c r="C54" i="9"/>
  <c r="C73" i="9"/>
  <c r="C74" i="9"/>
  <c r="G74" i="9" s="1"/>
  <c r="F117" i="9"/>
  <c r="D47" i="9"/>
  <c r="D75" i="9"/>
  <c r="D38" i="9"/>
  <c r="D60" i="9"/>
  <c r="D48" i="9"/>
  <c r="D44" i="9"/>
  <c r="D71" i="9"/>
  <c r="D78" i="9" s="1"/>
  <c r="D66" i="9"/>
  <c r="D67" i="9" s="1"/>
  <c r="D54" i="9"/>
  <c r="D55" i="9"/>
  <c r="D76" i="9"/>
  <c r="D73" i="9"/>
  <c r="D40" i="9"/>
  <c r="D74" i="9"/>
  <c r="F33" i="9"/>
  <c r="G33" i="9" s="1"/>
  <c r="G30" i="9"/>
  <c r="E26" i="9"/>
  <c r="E121" i="9"/>
  <c r="D91" i="9"/>
  <c r="D90" i="9"/>
  <c r="E75" i="9"/>
  <c r="E74" i="9"/>
  <c r="E71" i="9"/>
  <c r="E78" i="9" s="1"/>
  <c r="E60" i="9"/>
  <c r="E48" i="9"/>
  <c r="E47" i="9"/>
  <c r="E66" i="9"/>
  <c r="E67" i="9" s="1"/>
  <c r="E54" i="9"/>
  <c r="E76" i="9"/>
  <c r="E73" i="9"/>
  <c r="E40" i="9"/>
  <c r="E44" i="9"/>
  <c r="E38" i="9"/>
  <c r="E55" i="9"/>
  <c r="C117" i="9"/>
  <c r="B108" i="9"/>
  <c r="G21" i="9"/>
  <c r="F25" i="9"/>
  <c r="F26" i="9" s="1"/>
  <c r="C16" i="9"/>
  <c r="G16" i="9" s="1"/>
  <c r="G15" i="9"/>
  <c r="C77" i="9"/>
  <c r="G77" i="9" s="1"/>
  <c r="F60" i="9"/>
  <c r="F48" i="9"/>
  <c r="F47" i="9"/>
  <c r="F75" i="9"/>
  <c r="F66" i="9"/>
  <c r="F67" i="9" s="1"/>
  <c r="F54" i="9"/>
  <c r="F76" i="9"/>
  <c r="F73" i="9"/>
  <c r="F40" i="9"/>
  <c r="F44" i="9"/>
  <c r="F38" i="9"/>
  <c r="F71" i="9"/>
  <c r="F78" i="9" s="1"/>
  <c r="F72" i="9"/>
  <c r="F55" i="9"/>
  <c r="G75" i="9" l="1"/>
  <c r="B120" i="9"/>
  <c r="G54" i="9"/>
  <c r="C90" i="9"/>
  <c r="G89" i="9"/>
  <c r="G73" i="9"/>
  <c r="G66" i="9"/>
  <c r="C67" i="9"/>
  <c r="G67" i="9" s="1"/>
  <c r="G55" i="9"/>
  <c r="D61" i="9"/>
  <c r="D62" i="9" s="1"/>
  <c r="D93" i="9" s="1"/>
  <c r="G72" i="9"/>
  <c r="G38" i="9"/>
  <c r="G48" i="9"/>
  <c r="G40" i="9"/>
  <c r="F119" i="9"/>
  <c r="D119" i="9"/>
  <c r="B119" i="9" s="1"/>
  <c r="G26" i="9"/>
  <c r="D118" i="9"/>
  <c r="D45" i="9" s="1"/>
  <c r="F118" i="9"/>
  <c r="F45" i="9" s="1"/>
  <c r="F61" i="9" s="1"/>
  <c r="B117" i="9"/>
  <c r="G44" i="9"/>
  <c r="E61" i="9"/>
  <c r="E62" i="9" s="1"/>
  <c r="E93" i="9" s="1"/>
  <c r="G60" i="9"/>
  <c r="G47" i="9"/>
  <c r="E119" i="9"/>
  <c r="G25" i="9"/>
  <c r="C78" i="9"/>
  <c r="G78" i="9" s="1"/>
  <c r="G71" i="9"/>
  <c r="C118" i="9"/>
  <c r="F90" i="9" l="1"/>
  <c r="F91" i="9" s="1"/>
  <c r="G90" i="9"/>
  <c r="C45" i="9"/>
  <c r="B118" i="9"/>
  <c r="F62" i="9"/>
  <c r="F93" i="9" s="1"/>
  <c r="C91" i="9"/>
  <c r="G91" i="9" s="1"/>
  <c r="G45" i="9" l="1"/>
  <c r="C61" i="9"/>
  <c r="C62" i="9"/>
  <c r="C93" i="9" s="1"/>
  <c r="G61" i="9" l="1"/>
  <c r="G62" i="9"/>
  <c r="G93" i="9" s="1"/>
  <c r="I12" i="6" l="1"/>
  <c r="H12" i="6"/>
  <c r="D12" i="6"/>
  <c r="C12" i="6"/>
  <c r="K43" i="14"/>
  <c r="I43" i="14"/>
  <c r="I42" i="14"/>
  <c r="K42" i="14" s="1"/>
  <c r="I41" i="14"/>
  <c r="K41" i="14" s="1"/>
  <c r="I40" i="14"/>
  <c r="K40" i="14" s="1"/>
  <c r="K39" i="14"/>
  <c r="I39" i="14"/>
  <c r="I38" i="14"/>
  <c r="K38" i="14" s="1"/>
  <c r="I37" i="14"/>
  <c r="K37" i="14" s="1"/>
  <c r="I36" i="14"/>
  <c r="K36" i="14" s="1"/>
  <c r="K35" i="14"/>
  <c r="I35" i="14"/>
  <c r="I34" i="14"/>
  <c r="K34" i="14" s="1"/>
  <c r="I33" i="14"/>
  <c r="K33" i="14" s="1"/>
  <c r="I32" i="14"/>
  <c r="K32" i="14" s="1"/>
  <c r="K31" i="14"/>
  <c r="I31" i="14"/>
  <c r="I30" i="14"/>
  <c r="K30" i="14" s="1"/>
  <c r="I29" i="14"/>
  <c r="K29" i="14" s="1"/>
  <c r="I28" i="14"/>
  <c r="K28" i="14" s="1"/>
  <c r="K27" i="14"/>
  <c r="I27" i="14"/>
  <c r="I26" i="14"/>
  <c r="K26" i="14" s="1"/>
  <c r="I25" i="14"/>
  <c r="K25" i="14" s="1"/>
  <c r="I24" i="14"/>
  <c r="K24" i="14" s="1"/>
  <c r="K23" i="14"/>
  <c r="I23" i="14"/>
  <c r="I22" i="14"/>
  <c r="K22" i="14" s="1"/>
  <c r="I21" i="14"/>
  <c r="K21" i="14" s="1"/>
  <c r="I17" i="14"/>
  <c r="K17" i="14" s="1"/>
  <c r="I16" i="14"/>
  <c r="K16" i="14" s="1"/>
  <c r="I15" i="14"/>
  <c r="K15" i="14" s="1"/>
  <c r="K14" i="14"/>
  <c r="I14" i="14"/>
  <c r="I13" i="14"/>
  <c r="K13" i="14" s="1"/>
  <c r="I12" i="14"/>
  <c r="K12" i="14" s="1"/>
  <c r="I11" i="14"/>
  <c r="K11" i="14" s="1"/>
  <c r="K10" i="14"/>
  <c r="I10" i="14"/>
  <c r="I9" i="14"/>
  <c r="K9" i="14" s="1"/>
  <c r="I8" i="14"/>
  <c r="K8" i="14" s="1"/>
  <c r="I7" i="14"/>
  <c r="K7" i="14" s="1"/>
  <c r="K6" i="14"/>
  <c r="I6" i="14"/>
  <c r="I5" i="14"/>
  <c r="K5" i="14" s="1"/>
  <c r="I4" i="14"/>
  <c r="K4" i="14" s="1"/>
  <c r="I3" i="14"/>
  <c r="K3" i="14" s="1"/>
  <c r="K2" i="14"/>
  <c r="K19" i="14" s="1"/>
  <c r="I2" i="14"/>
  <c r="K45" i="14" l="1"/>
  <c r="K47" i="14" s="1"/>
  <c r="J172" i="13" l="1"/>
  <c r="M169" i="13"/>
  <c r="P169" i="13" s="1"/>
  <c r="L169" i="13"/>
  <c r="O169" i="13" s="1"/>
  <c r="K169" i="13"/>
  <c r="N169" i="13" s="1"/>
  <c r="Q169" i="13" s="1"/>
  <c r="J169" i="13"/>
  <c r="N168" i="13"/>
  <c r="Q168" i="13" s="1"/>
  <c r="M168" i="13"/>
  <c r="P168" i="13" s="1"/>
  <c r="L168" i="13"/>
  <c r="O168" i="13" s="1"/>
  <c r="K168" i="13"/>
  <c r="J168" i="13"/>
  <c r="M167" i="13"/>
  <c r="P167" i="13" s="1"/>
  <c r="L167" i="13"/>
  <c r="O167" i="13" s="1"/>
  <c r="K167" i="13"/>
  <c r="N167" i="13" s="1"/>
  <c r="Q167" i="13" s="1"/>
  <c r="J167" i="13"/>
  <c r="M166" i="13"/>
  <c r="P166" i="13" s="1"/>
  <c r="L166" i="13"/>
  <c r="O166" i="13" s="1"/>
  <c r="K166" i="13"/>
  <c r="N166" i="13" s="1"/>
  <c r="Q166" i="13" s="1"/>
  <c r="J166" i="13"/>
  <c r="M165" i="13"/>
  <c r="P165" i="13" s="1"/>
  <c r="L165" i="13"/>
  <c r="O165" i="13" s="1"/>
  <c r="K165" i="13"/>
  <c r="N165" i="13" s="1"/>
  <c r="Q165" i="13" s="1"/>
  <c r="J165" i="13"/>
  <c r="M164" i="13"/>
  <c r="P164" i="13" s="1"/>
  <c r="L164" i="13"/>
  <c r="O164" i="13" s="1"/>
  <c r="K164" i="13"/>
  <c r="N164" i="13" s="1"/>
  <c r="Q164" i="13" s="1"/>
  <c r="J164" i="13"/>
  <c r="N163" i="13"/>
  <c r="Q163" i="13" s="1"/>
  <c r="M163" i="13"/>
  <c r="P163" i="13" s="1"/>
  <c r="L163" i="13"/>
  <c r="O163" i="13" s="1"/>
  <c r="K163" i="13"/>
  <c r="J163" i="13"/>
  <c r="M162" i="13"/>
  <c r="P162" i="13" s="1"/>
  <c r="L162" i="13"/>
  <c r="O162" i="13" s="1"/>
  <c r="K162" i="13"/>
  <c r="N162" i="13" s="1"/>
  <c r="Q162" i="13" s="1"/>
  <c r="J162" i="13"/>
  <c r="M161" i="13"/>
  <c r="P161" i="13" s="1"/>
  <c r="L161" i="13"/>
  <c r="O161" i="13" s="1"/>
  <c r="K161" i="13"/>
  <c r="N161" i="13" s="1"/>
  <c r="Q161" i="13" s="1"/>
  <c r="J161" i="13"/>
  <c r="N160" i="13"/>
  <c r="Q160" i="13" s="1"/>
  <c r="M160" i="13"/>
  <c r="P160" i="13" s="1"/>
  <c r="L160" i="13"/>
  <c r="O160" i="13" s="1"/>
  <c r="K160" i="13"/>
  <c r="J160" i="13"/>
  <c r="M159" i="13"/>
  <c r="P159" i="13" s="1"/>
  <c r="L159" i="13"/>
  <c r="O159" i="13" s="1"/>
  <c r="K159" i="13"/>
  <c r="N159" i="13" s="1"/>
  <c r="Q159" i="13" s="1"/>
  <c r="J159" i="13"/>
  <c r="O158" i="13"/>
  <c r="M158" i="13"/>
  <c r="P158" i="13" s="1"/>
  <c r="L158" i="13"/>
  <c r="K158" i="13"/>
  <c r="N158" i="13" s="1"/>
  <c r="Q158" i="13" s="1"/>
  <c r="J158" i="13"/>
  <c r="N157" i="13"/>
  <c r="Q157" i="13" s="1"/>
  <c r="M157" i="13"/>
  <c r="P157" i="13" s="1"/>
  <c r="L157" i="13"/>
  <c r="O157" i="13" s="1"/>
  <c r="K157" i="13"/>
  <c r="J157" i="13"/>
  <c r="M156" i="13"/>
  <c r="P156" i="13" s="1"/>
  <c r="L156" i="13"/>
  <c r="O156" i="13" s="1"/>
  <c r="K156" i="13"/>
  <c r="N156" i="13" s="1"/>
  <c r="Q156" i="13" s="1"/>
  <c r="J156" i="13"/>
  <c r="M155" i="13"/>
  <c r="P155" i="13" s="1"/>
  <c r="L155" i="13"/>
  <c r="O155" i="13" s="1"/>
  <c r="K155" i="13"/>
  <c r="N155" i="13" s="1"/>
  <c r="Q155" i="13" s="1"/>
  <c r="J155" i="13"/>
  <c r="M154" i="13"/>
  <c r="P154" i="13" s="1"/>
  <c r="L154" i="13"/>
  <c r="O154" i="13" s="1"/>
  <c r="K154" i="13"/>
  <c r="N154" i="13" s="1"/>
  <c r="Q154" i="13" s="1"/>
  <c r="J154" i="13"/>
  <c r="M153" i="13"/>
  <c r="P153" i="13" s="1"/>
  <c r="L153" i="13"/>
  <c r="O153" i="13" s="1"/>
  <c r="K153" i="13"/>
  <c r="N153" i="13" s="1"/>
  <c r="Q153" i="13" s="1"/>
  <c r="J153" i="13"/>
  <c r="M152" i="13"/>
  <c r="P152" i="13" s="1"/>
  <c r="L152" i="13"/>
  <c r="O152" i="13" s="1"/>
  <c r="K152" i="13"/>
  <c r="N152" i="13" s="1"/>
  <c r="Q152" i="13" s="1"/>
  <c r="J152" i="13"/>
  <c r="M151" i="13"/>
  <c r="P151" i="13" s="1"/>
  <c r="L151" i="13"/>
  <c r="O151" i="13" s="1"/>
  <c r="K151" i="13"/>
  <c r="N151" i="13" s="1"/>
  <c r="Q151" i="13" s="1"/>
  <c r="J151" i="13"/>
  <c r="O150" i="13"/>
  <c r="M150" i="13"/>
  <c r="P150" i="13" s="1"/>
  <c r="L150" i="13"/>
  <c r="K150" i="13"/>
  <c r="N150" i="13" s="1"/>
  <c r="Q150" i="13" s="1"/>
  <c r="J150" i="13"/>
  <c r="O149" i="13"/>
  <c r="N149" i="13"/>
  <c r="Q149" i="13" s="1"/>
  <c r="M149" i="13"/>
  <c r="P149" i="13" s="1"/>
  <c r="L149" i="13"/>
  <c r="K149" i="13"/>
  <c r="J149" i="13"/>
  <c r="N148" i="13"/>
  <c r="Q148" i="13" s="1"/>
  <c r="M148" i="13"/>
  <c r="P148" i="13" s="1"/>
  <c r="L148" i="13"/>
  <c r="O148" i="13" s="1"/>
  <c r="K148" i="13"/>
  <c r="J148" i="13"/>
  <c r="M147" i="13"/>
  <c r="P147" i="13" s="1"/>
  <c r="L147" i="13"/>
  <c r="O147" i="13" s="1"/>
  <c r="K147" i="13"/>
  <c r="N147" i="13" s="1"/>
  <c r="Q147" i="13" s="1"/>
  <c r="J147" i="13"/>
  <c r="M146" i="13"/>
  <c r="P146" i="13" s="1"/>
  <c r="L146" i="13"/>
  <c r="O146" i="13" s="1"/>
  <c r="K146" i="13"/>
  <c r="N146" i="13" s="1"/>
  <c r="Q146" i="13" s="1"/>
  <c r="J146" i="13"/>
  <c r="M145" i="13"/>
  <c r="P145" i="13" s="1"/>
  <c r="L145" i="13"/>
  <c r="O145" i="13" s="1"/>
  <c r="K145" i="13"/>
  <c r="N145" i="13" s="1"/>
  <c r="Q145" i="13" s="1"/>
  <c r="J145" i="13"/>
  <c r="M144" i="13"/>
  <c r="P144" i="13" s="1"/>
  <c r="L144" i="13"/>
  <c r="O144" i="13" s="1"/>
  <c r="K144" i="13"/>
  <c r="N144" i="13" s="1"/>
  <c r="Q144" i="13" s="1"/>
  <c r="J144" i="13"/>
  <c r="N143" i="13"/>
  <c r="Q143" i="13" s="1"/>
  <c r="M143" i="13"/>
  <c r="P143" i="13" s="1"/>
  <c r="L143" i="13"/>
  <c r="O143" i="13" s="1"/>
  <c r="K143" i="13"/>
  <c r="J143" i="13"/>
  <c r="M142" i="13"/>
  <c r="P142" i="13" s="1"/>
  <c r="L142" i="13"/>
  <c r="O142" i="13" s="1"/>
  <c r="K142" i="13"/>
  <c r="N142" i="13" s="1"/>
  <c r="Q142" i="13" s="1"/>
  <c r="J142" i="13"/>
  <c r="M141" i="13"/>
  <c r="P141" i="13" s="1"/>
  <c r="L141" i="13"/>
  <c r="O141" i="13" s="1"/>
  <c r="K141" i="13"/>
  <c r="N141" i="13" s="1"/>
  <c r="Q141" i="13" s="1"/>
  <c r="J141" i="13"/>
  <c r="N140" i="13"/>
  <c r="Q140" i="13" s="1"/>
  <c r="M140" i="13"/>
  <c r="P140" i="13" s="1"/>
  <c r="L140" i="13"/>
  <c r="O140" i="13" s="1"/>
  <c r="K140" i="13"/>
  <c r="J140" i="13"/>
  <c r="M139" i="13"/>
  <c r="P139" i="13" s="1"/>
  <c r="L139" i="13"/>
  <c r="O139" i="13" s="1"/>
  <c r="K139" i="13"/>
  <c r="N139" i="13" s="1"/>
  <c r="Q139" i="13" s="1"/>
  <c r="J139" i="13"/>
  <c r="M138" i="13"/>
  <c r="P138" i="13" s="1"/>
  <c r="L138" i="13"/>
  <c r="O138" i="13" s="1"/>
  <c r="K138" i="13"/>
  <c r="N138" i="13" s="1"/>
  <c r="Q138" i="13" s="1"/>
  <c r="J138" i="13"/>
  <c r="M137" i="13"/>
  <c r="P137" i="13" s="1"/>
  <c r="L137" i="13"/>
  <c r="O137" i="13" s="1"/>
  <c r="K137" i="13"/>
  <c r="N137" i="13" s="1"/>
  <c r="Q137" i="13" s="1"/>
  <c r="J137" i="13"/>
  <c r="M136" i="13"/>
  <c r="P136" i="13" s="1"/>
  <c r="L136" i="13"/>
  <c r="O136" i="13" s="1"/>
  <c r="K136" i="13"/>
  <c r="N136" i="13" s="1"/>
  <c r="Q136" i="13" s="1"/>
  <c r="J136" i="13"/>
  <c r="M135" i="13"/>
  <c r="P135" i="13" s="1"/>
  <c r="L135" i="13"/>
  <c r="O135" i="13" s="1"/>
  <c r="K135" i="13"/>
  <c r="N135" i="13" s="1"/>
  <c r="Q135" i="13" s="1"/>
  <c r="J135" i="13"/>
  <c r="M134" i="13"/>
  <c r="P134" i="13" s="1"/>
  <c r="L134" i="13"/>
  <c r="O134" i="13" s="1"/>
  <c r="K134" i="13"/>
  <c r="N134" i="13" s="1"/>
  <c r="Q134" i="13" s="1"/>
  <c r="J134" i="13"/>
  <c r="O133" i="13"/>
  <c r="M133" i="13"/>
  <c r="P133" i="13" s="1"/>
  <c r="L133" i="13"/>
  <c r="K133" i="13"/>
  <c r="N133" i="13" s="1"/>
  <c r="Q133" i="13" s="1"/>
  <c r="J133" i="13"/>
  <c r="O132" i="13"/>
  <c r="N132" i="13"/>
  <c r="Q132" i="13" s="1"/>
  <c r="M132" i="13"/>
  <c r="P132" i="13" s="1"/>
  <c r="L132" i="13"/>
  <c r="K132" i="13"/>
  <c r="J132" i="13"/>
  <c r="M131" i="13"/>
  <c r="P131" i="13" s="1"/>
  <c r="L131" i="13"/>
  <c r="O131" i="13" s="1"/>
  <c r="K131" i="13"/>
  <c r="N131" i="13" s="1"/>
  <c r="Q131" i="13" s="1"/>
  <c r="J131" i="13"/>
  <c r="M130" i="13"/>
  <c r="P130" i="13" s="1"/>
  <c r="L130" i="13"/>
  <c r="O130" i="13" s="1"/>
  <c r="K130" i="13"/>
  <c r="N130" i="13" s="1"/>
  <c r="Q130" i="13" s="1"/>
  <c r="J130" i="13"/>
  <c r="M129" i="13"/>
  <c r="P129" i="13" s="1"/>
  <c r="L129" i="13"/>
  <c r="O129" i="13" s="1"/>
  <c r="K129" i="13"/>
  <c r="N129" i="13" s="1"/>
  <c r="Q129" i="13" s="1"/>
  <c r="J129" i="13"/>
  <c r="M128" i="13"/>
  <c r="P128" i="13" s="1"/>
  <c r="L128" i="13"/>
  <c r="O128" i="13" s="1"/>
  <c r="K128" i="13"/>
  <c r="N128" i="13" s="1"/>
  <c r="Q128" i="13" s="1"/>
  <c r="J128" i="13"/>
  <c r="M127" i="13"/>
  <c r="P127" i="13" s="1"/>
  <c r="L127" i="13"/>
  <c r="O127" i="13" s="1"/>
  <c r="K127" i="13"/>
  <c r="N127" i="13" s="1"/>
  <c r="Q127" i="13" s="1"/>
  <c r="J127" i="13"/>
  <c r="M126" i="13"/>
  <c r="P126" i="13" s="1"/>
  <c r="L126" i="13"/>
  <c r="O126" i="13" s="1"/>
  <c r="K126" i="13"/>
  <c r="N126" i="13" s="1"/>
  <c r="Q126" i="13" s="1"/>
  <c r="J126" i="13"/>
  <c r="M125" i="13"/>
  <c r="P125" i="13" s="1"/>
  <c r="L125" i="13"/>
  <c r="O125" i="13" s="1"/>
  <c r="K125" i="13"/>
  <c r="N125" i="13" s="1"/>
  <c r="Q125" i="13" s="1"/>
  <c r="J125" i="13"/>
  <c r="O124" i="13"/>
  <c r="N124" i="13"/>
  <c r="Q124" i="13" s="1"/>
  <c r="M124" i="13"/>
  <c r="P124" i="13" s="1"/>
  <c r="L124" i="13"/>
  <c r="K124" i="13"/>
  <c r="J124" i="13"/>
  <c r="O123" i="13"/>
  <c r="N123" i="13"/>
  <c r="Q123" i="13" s="1"/>
  <c r="M123" i="13"/>
  <c r="P123" i="13" s="1"/>
  <c r="L123" i="13"/>
  <c r="K123" i="13"/>
  <c r="J123" i="13"/>
  <c r="M122" i="13"/>
  <c r="P122" i="13" s="1"/>
  <c r="L122" i="13"/>
  <c r="O122" i="13" s="1"/>
  <c r="K122" i="13"/>
  <c r="N122" i="13" s="1"/>
  <c r="Q122" i="13" s="1"/>
  <c r="J122" i="13"/>
  <c r="O121" i="13"/>
  <c r="M121" i="13"/>
  <c r="P121" i="13" s="1"/>
  <c r="L121" i="13"/>
  <c r="K121" i="13"/>
  <c r="N121" i="13" s="1"/>
  <c r="Q121" i="13" s="1"/>
  <c r="J121" i="13"/>
  <c r="N120" i="13"/>
  <c r="Q120" i="13" s="1"/>
  <c r="M120" i="13"/>
  <c r="P120" i="13" s="1"/>
  <c r="L120" i="13"/>
  <c r="O120" i="13" s="1"/>
  <c r="K120" i="13"/>
  <c r="J120" i="13"/>
  <c r="M119" i="13"/>
  <c r="P119" i="13" s="1"/>
  <c r="L119" i="13"/>
  <c r="O119" i="13" s="1"/>
  <c r="K119" i="13"/>
  <c r="N119" i="13" s="1"/>
  <c r="Q119" i="13" s="1"/>
  <c r="J119" i="13"/>
  <c r="M118" i="13"/>
  <c r="P118" i="13" s="1"/>
  <c r="L118" i="13"/>
  <c r="O118" i="13" s="1"/>
  <c r="K118" i="13"/>
  <c r="N118" i="13" s="1"/>
  <c r="Q118" i="13" s="1"/>
  <c r="J118" i="13"/>
  <c r="M117" i="13"/>
  <c r="P117" i="13" s="1"/>
  <c r="L117" i="13"/>
  <c r="O117" i="13" s="1"/>
  <c r="K117" i="13"/>
  <c r="N117" i="13" s="1"/>
  <c r="Q117" i="13" s="1"/>
  <c r="J117" i="13"/>
  <c r="M116" i="13"/>
  <c r="P116" i="13" s="1"/>
  <c r="L116" i="13"/>
  <c r="O116" i="13" s="1"/>
  <c r="K116" i="13"/>
  <c r="N116" i="13" s="1"/>
  <c r="Q116" i="13" s="1"/>
  <c r="J116" i="13"/>
  <c r="M115" i="13"/>
  <c r="P115" i="13" s="1"/>
  <c r="L115" i="13"/>
  <c r="O115" i="13" s="1"/>
  <c r="K115" i="13"/>
  <c r="N115" i="13" s="1"/>
  <c r="Q115" i="13" s="1"/>
  <c r="J115" i="13"/>
  <c r="M114" i="13"/>
  <c r="P114" i="13" s="1"/>
  <c r="L114" i="13"/>
  <c r="O114" i="13" s="1"/>
  <c r="K114" i="13"/>
  <c r="N114" i="13" s="1"/>
  <c r="Q114" i="13" s="1"/>
  <c r="J114" i="13"/>
  <c r="M113" i="13"/>
  <c r="P113" i="13" s="1"/>
  <c r="L113" i="13"/>
  <c r="O113" i="13" s="1"/>
  <c r="K113" i="13"/>
  <c r="N113" i="13" s="1"/>
  <c r="Q113" i="13" s="1"/>
  <c r="J113" i="13"/>
  <c r="M112" i="13"/>
  <c r="P112" i="13" s="1"/>
  <c r="L112" i="13"/>
  <c r="O112" i="13" s="1"/>
  <c r="K112" i="13"/>
  <c r="N112" i="13" s="1"/>
  <c r="Q112" i="13" s="1"/>
  <c r="J112" i="13"/>
  <c r="M111" i="13"/>
  <c r="P111" i="13" s="1"/>
  <c r="L111" i="13"/>
  <c r="O111" i="13" s="1"/>
  <c r="K111" i="13"/>
  <c r="N111" i="13" s="1"/>
  <c r="Q111" i="13" s="1"/>
  <c r="J111" i="13"/>
  <c r="M110" i="13"/>
  <c r="P110" i="13" s="1"/>
  <c r="L110" i="13"/>
  <c r="O110" i="13" s="1"/>
  <c r="K110" i="13"/>
  <c r="N110" i="13" s="1"/>
  <c r="Q110" i="13" s="1"/>
  <c r="J110" i="13"/>
  <c r="O109" i="13"/>
  <c r="M109" i="13"/>
  <c r="P109" i="13" s="1"/>
  <c r="L109" i="13"/>
  <c r="K109" i="13"/>
  <c r="N109" i="13" s="1"/>
  <c r="Q109" i="13" s="1"/>
  <c r="J109" i="13"/>
  <c r="N108" i="13"/>
  <c r="Q108" i="13" s="1"/>
  <c r="M108" i="13"/>
  <c r="P108" i="13" s="1"/>
  <c r="L108" i="13"/>
  <c r="O108" i="13" s="1"/>
  <c r="K108" i="13"/>
  <c r="J108" i="13"/>
  <c r="M107" i="13"/>
  <c r="P107" i="13" s="1"/>
  <c r="L107" i="13"/>
  <c r="O107" i="13" s="1"/>
  <c r="K107" i="13"/>
  <c r="N107" i="13" s="1"/>
  <c r="Q107" i="13" s="1"/>
  <c r="J107" i="13"/>
  <c r="M106" i="13"/>
  <c r="P106" i="13" s="1"/>
  <c r="L106" i="13"/>
  <c r="O106" i="13" s="1"/>
  <c r="K106" i="13"/>
  <c r="N106" i="13" s="1"/>
  <c r="Q106" i="13" s="1"/>
  <c r="J106" i="13"/>
  <c r="M105" i="13"/>
  <c r="P105" i="13" s="1"/>
  <c r="L105" i="13"/>
  <c r="O105" i="13" s="1"/>
  <c r="K105" i="13"/>
  <c r="N105" i="13" s="1"/>
  <c r="Q105" i="13" s="1"/>
  <c r="J105" i="13"/>
  <c r="M104" i="13"/>
  <c r="P104" i="13" s="1"/>
  <c r="L104" i="13"/>
  <c r="O104" i="13" s="1"/>
  <c r="K104" i="13"/>
  <c r="N104" i="13" s="1"/>
  <c r="Q104" i="13" s="1"/>
  <c r="J104" i="13"/>
  <c r="M103" i="13"/>
  <c r="P103" i="13" s="1"/>
  <c r="L103" i="13"/>
  <c r="O103" i="13" s="1"/>
  <c r="K103" i="13"/>
  <c r="N103" i="13" s="1"/>
  <c r="Q103" i="13" s="1"/>
  <c r="J103" i="13"/>
  <c r="M102" i="13"/>
  <c r="P102" i="13" s="1"/>
  <c r="L102" i="13"/>
  <c r="O102" i="13" s="1"/>
  <c r="K102" i="13"/>
  <c r="N102" i="13" s="1"/>
  <c r="Q102" i="13" s="1"/>
  <c r="J102" i="13"/>
  <c r="M101" i="13"/>
  <c r="P101" i="13" s="1"/>
  <c r="L101" i="13"/>
  <c r="O101" i="13" s="1"/>
  <c r="K101" i="13"/>
  <c r="N101" i="13" s="1"/>
  <c r="Q101" i="13" s="1"/>
  <c r="J101" i="13"/>
  <c r="N100" i="13"/>
  <c r="Q100" i="13" s="1"/>
  <c r="M100" i="13"/>
  <c r="P100" i="13" s="1"/>
  <c r="L100" i="13"/>
  <c r="O100" i="13" s="1"/>
  <c r="K100" i="13"/>
  <c r="J100" i="13"/>
  <c r="M99" i="13"/>
  <c r="P99" i="13" s="1"/>
  <c r="L99" i="13"/>
  <c r="O99" i="13" s="1"/>
  <c r="K99" i="13"/>
  <c r="N99" i="13" s="1"/>
  <c r="Q99" i="13" s="1"/>
  <c r="J99" i="13"/>
  <c r="M98" i="13"/>
  <c r="P98" i="13" s="1"/>
  <c r="L98" i="13"/>
  <c r="O98" i="13" s="1"/>
  <c r="K98" i="13"/>
  <c r="N98" i="13" s="1"/>
  <c r="Q98" i="13" s="1"/>
  <c r="J98" i="13"/>
  <c r="M97" i="13"/>
  <c r="P97" i="13" s="1"/>
  <c r="L97" i="13"/>
  <c r="O97" i="13" s="1"/>
  <c r="K97" i="13"/>
  <c r="N97" i="13" s="1"/>
  <c r="Q97" i="13" s="1"/>
  <c r="J97" i="13"/>
  <c r="M96" i="13"/>
  <c r="P96" i="13" s="1"/>
  <c r="L96" i="13"/>
  <c r="O96" i="13" s="1"/>
  <c r="K96" i="13"/>
  <c r="N96" i="13" s="1"/>
  <c r="Q96" i="13" s="1"/>
  <c r="J96" i="13"/>
  <c r="M95" i="13"/>
  <c r="P95" i="13" s="1"/>
  <c r="L95" i="13"/>
  <c r="O95" i="13" s="1"/>
  <c r="K95" i="13"/>
  <c r="N95" i="13" s="1"/>
  <c r="Q95" i="13" s="1"/>
  <c r="J95" i="13"/>
  <c r="M94" i="13"/>
  <c r="P94" i="13" s="1"/>
  <c r="L94" i="13"/>
  <c r="O94" i="13" s="1"/>
  <c r="K94" i="13"/>
  <c r="N94" i="13" s="1"/>
  <c r="Q94" i="13" s="1"/>
  <c r="J94" i="13"/>
  <c r="N93" i="13"/>
  <c r="Q93" i="13" s="1"/>
  <c r="M93" i="13"/>
  <c r="P93" i="13" s="1"/>
  <c r="L93" i="13"/>
  <c r="O93" i="13" s="1"/>
  <c r="K93" i="13"/>
  <c r="J93" i="13"/>
  <c r="M92" i="13"/>
  <c r="P92" i="13" s="1"/>
  <c r="L92" i="13"/>
  <c r="O92" i="13" s="1"/>
  <c r="K92" i="13"/>
  <c r="N92" i="13" s="1"/>
  <c r="Q92" i="13" s="1"/>
  <c r="J92" i="13"/>
  <c r="M91" i="13"/>
  <c r="P91" i="13" s="1"/>
  <c r="L91" i="13"/>
  <c r="O91" i="13" s="1"/>
  <c r="K91" i="13"/>
  <c r="N91" i="13" s="1"/>
  <c r="Q91" i="13" s="1"/>
  <c r="J91" i="13"/>
  <c r="O90" i="13"/>
  <c r="M90" i="13"/>
  <c r="P90" i="13" s="1"/>
  <c r="L90" i="13"/>
  <c r="K90" i="13"/>
  <c r="N90" i="13" s="1"/>
  <c r="Q90" i="13" s="1"/>
  <c r="J90" i="13"/>
  <c r="M89" i="13"/>
  <c r="P89" i="13" s="1"/>
  <c r="L89" i="13"/>
  <c r="O89" i="13" s="1"/>
  <c r="K89" i="13"/>
  <c r="N89" i="13" s="1"/>
  <c r="Q89" i="13" s="1"/>
  <c r="J89" i="13"/>
  <c r="M88" i="13"/>
  <c r="P88" i="13" s="1"/>
  <c r="L88" i="13"/>
  <c r="O88" i="13" s="1"/>
  <c r="K88" i="13"/>
  <c r="N88" i="13" s="1"/>
  <c r="Q88" i="13" s="1"/>
  <c r="J88" i="13"/>
  <c r="Q87" i="13"/>
  <c r="O87" i="13"/>
  <c r="M87" i="13"/>
  <c r="P87" i="13" s="1"/>
  <c r="L87" i="13"/>
  <c r="K87" i="13"/>
  <c r="N87" i="13" s="1"/>
  <c r="J87" i="13"/>
  <c r="M86" i="13"/>
  <c r="P86" i="13" s="1"/>
  <c r="L86" i="13"/>
  <c r="O86" i="13" s="1"/>
  <c r="K86" i="13"/>
  <c r="N86" i="13" s="1"/>
  <c r="Q86" i="13" s="1"/>
  <c r="J86" i="13"/>
  <c r="P85" i="13"/>
  <c r="O85" i="13"/>
  <c r="M85" i="13"/>
  <c r="L85" i="13"/>
  <c r="K85" i="13"/>
  <c r="N85" i="13" s="1"/>
  <c r="Q85" i="13" s="1"/>
  <c r="J85" i="13"/>
  <c r="M84" i="13"/>
  <c r="P84" i="13" s="1"/>
  <c r="L84" i="13"/>
  <c r="O84" i="13" s="1"/>
  <c r="K84" i="13"/>
  <c r="N84" i="13" s="1"/>
  <c r="Q84" i="13" s="1"/>
  <c r="J84" i="13"/>
  <c r="M83" i="13"/>
  <c r="P83" i="13" s="1"/>
  <c r="L83" i="13"/>
  <c r="O83" i="13" s="1"/>
  <c r="K83" i="13"/>
  <c r="N83" i="13" s="1"/>
  <c r="Q83" i="13" s="1"/>
  <c r="J83" i="13"/>
  <c r="M82" i="13"/>
  <c r="P82" i="13" s="1"/>
  <c r="L82" i="13"/>
  <c r="O82" i="13" s="1"/>
  <c r="K82" i="13"/>
  <c r="N82" i="13" s="1"/>
  <c r="Q82" i="13" s="1"/>
  <c r="J82" i="13"/>
  <c r="M81" i="13"/>
  <c r="P81" i="13" s="1"/>
  <c r="L81" i="13"/>
  <c r="O81" i="13" s="1"/>
  <c r="K81" i="13"/>
  <c r="N81" i="13" s="1"/>
  <c r="Q81" i="13" s="1"/>
  <c r="J81" i="13"/>
  <c r="M80" i="13"/>
  <c r="P80" i="13" s="1"/>
  <c r="L80" i="13"/>
  <c r="O80" i="13" s="1"/>
  <c r="K80" i="13"/>
  <c r="N80" i="13" s="1"/>
  <c r="Q80" i="13" s="1"/>
  <c r="J80" i="13"/>
  <c r="O79" i="13"/>
  <c r="M79" i="13"/>
  <c r="P79" i="13" s="1"/>
  <c r="L79" i="13"/>
  <c r="K79" i="13"/>
  <c r="N79" i="13" s="1"/>
  <c r="Q79" i="13" s="1"/>
  <c r="J79" i="13"/>
  <c r="M78" i="13"/>
  <c r="P78" i="13" s="1"/>
  <c r="L78" i="13"/>
  <c r="O78" i="13" s="1"/>
  <c r="K78" i="13"/>
  <c r="N78" i="13" s="1"/>
  <c r="Q78" i="13" s="1"/>
  <c r="J78" i="13"/>
  <c r="P77" i="13"/>
  <c r="O77" i="13"/>
  <c r="M77" i="13"/>
  <c r="L77" i="13"/>
  <c r="K77" i="13"/>
  <c r="N77" i="13" s="1"/>
  <c r="Q77" i="13" s="1"/>
  <c r="J77" i="13"/>
  <c r="M76" i="13"/>
  <c r="P76" i="13" s="1"/>
  <c r="L76" i="13"/>
  <c r="O76" i="13" s="1"/>
  <c r="K76" i="13"/>
  <c r="N76" i="13" s="1"/>
  <c r="Q76" i="13" s="1"/>
  <c r="J76" i="13"/>
  <c r="M75" i="13"/>
  <c r="P75" i="13" s="1"/>
  <c r="L75" i="13"/>
  <c r="O75" i="13" s="1"/>
  <c r="K75" i="13"/>
  <c r="N75" i="13" s="1"/>
  <c r="Q75" i="13" s="1"/>
  <c r="J75" i="13"/>
  <c r="M74" i="13"/>
  <c r="P74" i="13" s="1"/>
  <c r="L74" i="13"/>
  <c r="O74" i="13" s="1"/>
  <c r="K74" i="13"/>
  <c r="N74" i="13" s="1"/>
  <c r="Q74" i="13" s="1"/>
  <c r="J74" i="13"/>
  <c r="M73" i="13"/>
  <c r="P73" i="13" s="1"/>
  <c r="L73" i="13"/>
  <c r="O73" i="13" s="1"/>
  <c r="K73" i="13"/>
  <c r="N73" i="13" s="1"/>
  <c r="Q73" i="13" s="1"/>
  <c r="J73" i="13"/>
  <c r="M72" i="13"/>
  <c r="P72" i="13" s="1"/>
  <c r="L72" i="13"/>
  <c r="O72" i="13" s="1"/>
  <c r="K72" i="13"/>
  <c r="N72" i="13" s="1"/>
  <c r="Q72" i="13" s="1"/>
  <c r="J72" i="13"/>
  <c r="O71" i="13"/>
  <c r="M71" i="13"/>
  <c r="P71" i="13" s="1"/>
  <c r="L71" i="13"/>
  <c r="K71" i="13"/>
  <c r="N71" i="13" s="1"/>
  <c r="Q71" i="13" s="1"/>
  <c r="J71" i="13"/>
  <c r="M70" i="13"/>
  <c r="P70" i="13" s="1"/>
  <c r="L70" i="13"/>
  <c r="O70" i="13" s="1"/>
  <c r="K70" i="13"/>
  <c r="N70" i="13" s="1"/>
  <c r="Q70" i="13" s="1"/>
  <c r="J70" i="13"/>
  <c r="P69" i="13"/>
  <c r="O69" i="13"/>
  <c r="M69" i="13"/>
  <c r="L69" i="13"/>
  <c r="K69" i="13"/>
  <c r="N69" i="13" s="1"/>
  <c r="Q69" i="13" s="1"/>
  <c r="J69" i="13"/>
  <c r="M68" i="13"/>
  <c r="P68" i="13" s="1"/>
  <c r="L68" i="13"/>
  <c r="O68" i="13" s="1"/>
  <c r="K68" i="13"/>
  <c r="N68" i="13" s="1"/>
  <c r="Q68" i="13" s="1"/>
  <c r="J68" i="13"/>
  <c r="M67" i="13"/>
  <c r="P67" i="13" s="1"/>
  <c r="L67" i="13"/>
  <c r="O67" i="13" s="1"/>
  <c r="K67" i="13"/>
  <c r="N67" i="13" s="1"/>
  <c r="Q67" i="13" s="1"/>
  <c r="J67" i="13"/>
  <c r="M66" i="13"/>
  <c r="P66" i="13" s="1"/>
  <c r="L66" i="13"/>
  <c r="O66" i="13" s="1"/>
  <c r="K66" i="13"/>
  <c r="N66" i="13" s="1"/>
  <c r="Q66" i="13" s="1"/>
  <c r="J66" i="13"/>
  <c r="M65" i="13"/>
  <c r="P65" i="13" s="1"/>
  <c r="L65" i="13"/>
  <c r="O65" i="13" s="1"/>
  <c r="K65" i="13"/>
  <c r="N65" i="13" s="1"/>
  <c r="Q65" i="13" s="1"/>
  <c r="J65" i="13"/>
  <c r="M64" i="13"/>
  <c r="P64" i="13" s="1"/>
  <c r="L64" i="13"/>
  <c r="O64" i="13" s="1"/>
  <c r="K64" i="13"/>
  <c r="N64" i="13" s="1"/>
  <c r="Q64" i="13" s="1"/>
  <c r="J64" i="13"/>
  <c r="O63" i="13"/>
  <c r="M63" i="13"/>
  <c r="P63" i="13" s="1"/>
  <c r="L63" i="13"/>
  <c r="K63" i="13"/>
  <c r="N63" i="13" s="1"/>
  <c r="Q63" i="13" s="1"/>
  <c r="J63" i="13"/>
  <c r="M62" i="13"/>
  <c r="P62" i="13" s="1"/>
  <c r="L62" i="13"/>
  <c r="O62" i="13" s="1"/>
  <c r="K62" i="13"/>
  <c r="N62" i="13" s="1"/>
  <c r="Q62" i="13" s="1"/>
  <c r="J62" i="13"/>
  <c r="P61" i="13"/>
  <c r="O61" i="13"/>
  <c r="M61" i="13"/>
  <c r="L61" i="13"/>
  <c r="K61" i="13"/>
  <c r="N61" i="13" s="1"/>
  <c r="Q61" i="13" s="1"/>
  <c r="J61" i="13"/>
  <c r="M60" i="13"/>
  <c r="P60" i="13" s="1"/>
  <c r="L60" i="13"/>
  <c r="O60" i="13" s="1"/>
  <c r="K60" i="13"/>
  <c r="N60" i="13" s="1"/>
  <c r="Q60" i="13" s="1"/>
  <c r="J60" i="13"/>
  <c r="M59" i="13"/>
  <c r="P59" i="13" s="1"/>
  <c r="L59" i="13"/>
  <c r="O59" i="13" s="1"/>
  <c r="K59" i="13"/>
  <c r="N59" i="13" s="1"/>
  <c r="Q59" i="13" s="1"/>
  <c r="J59" i="13"/>
  <c r="M58" i="13"/>
  <c r="P58" i="13" s="1"/>
  <c r="L58" i="13"/>
  <c r="O58" i="13" s="1"/>
  <c r="K58" i="13"/>
  <c r="N58" i="13" s="1"/>
  <c r="Q58" i="13" s="1"/>
  <c r="J58" i="13"/>
  <c r="M57" i="13"/>
  <c r="P57" i="13" s="1"/>
  <c r="L57" i="13"/>
  <c r="O57" i="13" s="1"/>
  <c r="K57" i="13"/>
  <c r="N57" i="13" s="1"/>
  <c r="Q57" i="13" s="1"/>
  <c r="J57" i="13"/>
  <c r="M56" i="13"/>
  <c r="P56" i="13" s="1"/>
  <c r="L56" i="13"/>
  <c r="O56" i="13" s="1"/>
  <c r="K56" i="13"/>
  <c r="N56" i="13" s="1"/>
  <c r="Q56" i="13" s="1"/>
  <c r="J56" i="13"/>
  <c r="O55" i="13"/>
  <c r="M55" i="13"/>
  <c r="P55" i="13" s="1"/>
  <c r="L55" i="13"/>
  <c r="K55" i="13"/>
  <c r="N55" i="13" s="1"/>
  <c r="Q55" i="13" s="1"/>
  <c r="J55" i="13"/>
  <c r="M54" i="13"/>
  <c r="P54" i="13" s="1"/>
  <c r="L54" i="13"/>
  <c r="O54" i="13" s="1"/>
  <c r="K54" i="13"/>
  <c r="N54" i="13" s="1"/>
  <c r="Q54" i="13" s="1"/>
  <c r="J54" i="13"/>
  <c r="P53" i="13"/>
  <c r="O53" i="13"/>
  <c r="M53" i="13"/>
  <c r="L53" i="13"/>
  <c r="K53" i="13"/>
  <c r="N53" i="13" s="1"/>
  <c r="Q53" i="13" s="1"/>
  <c r="J53" i="13"/>
  <c r="M52" i="13"/>
  <c r="P52" i="13" s="1"/>
  <c r="L52" i="13"/>
  <c r="O52" i="13" s="1"/>
  <c r="K52" i="13"/>
  <c r="N52" i="13" s="1"/>
  <c r="Q52" i="13" s="1"/>
  <c r="J52" i="13"/>
  <c r="M51" i="13"/>
  <c r="P51" i="13" s="1"/>
  <c r="L51" i="13"/>
  <c r="O51" i="13" s="1"/>
  <c r="K51" i="13"/>
  <c r="N51" i="13" s="1"/>
  <c r="Q51" i="13" s="1"/>
  <c r="J51" i="13"/>
  <c r="M50" i="13"/>
  <c r="P50" i="13" s="1"/>
  <c r="L50" i="13"/>
  <c r="O50" i="13" s="1"/>
  <c r="K50" i="13"/>
  <c r="N50" i="13" s="1"/>
  <c r="Q50" i="13" s="1"/>
  <c r="J50" i="13"/>
  <c r="M49" i="13"/>
  <c r="P49" i="13" s="1"/>
  <c r="L49" i="13"/>
  <c r="O49" i="13" s="1"/>
  <c r="K49" i="13"/>
  <c r="N49" i="13" s="1"/>
  <c r="Q49" i="13" s="1"/>
  <c r="J49" i="13"/>
  <c r="M48" i="13"/>
  <c r="P48" i="13" s="1"/>
  <c r="L48" i="13"/>
  <c r="O48" i="13" s="1"/>
  <c r="K48" i="13"/>
  <c r="N48" i="13" s="1"/>
  <c r="Q48" i="13" s="1"/>
  <c r="J48" i="13"/>
  <c r="O47" i="13"/>
  <c r="M47" i="13"/>
  <c r="P47" i="13" s="1"/>
  <c r="L47" i="13"/>
  <c r="K47" i="13"/>
  <c r="N47" i="13" s="1"/>
  <c r="Q47" i="13" s="1"/>
  <c r="J47" i="13"/>
  <c r="M46" i="13"/>
  <c r="P46" i="13" s="1"/>
  <c r="L46" i="13"/>
  <c r="O46" i="13" s="1"/>
  <c r="K46" i="13"/>
  <c r="N46" i="13" s="1"/>
  <c r="Q46" i="13" s="1"/>
  <c r="J46" i="13"/>
  <c r="P45" i="13"/>
  <c r="O45" i="13"/>
  <c r="M45" i="13"/>
  <c r="L45" i="13"/>
  <c r="K45" i="13"/>
  <c r="N45" i="13" s="1"/>
  <c r="Q45" i="13" s="1"/>
  <c r="J45" i="13"/>
  <c r="M44" i="13"/>
  <c r="P44" i="13" s="1"/>
  <c r="L44" i="13"/>
  <c r="O44" i="13" s="1"/>
  <c r="K44" i="13"/>
  <c r="N44" i="13" s="1"/>
  <c r="Q44" i="13" s="1"/>
  <c r="J44" i="13"/>
  <c r="M43" i="13"/>
  <c r="P43" i="13" s="1"/>
  <c r="L43" i="13"/>
  <c r="O43" i="13" s="1"/>
  <c r="K43" i="13"/>
  <c r="N43" i="13" s="1"/>
  <c r="Q43" i="13" s="1"/>
  <c r="J43" i="13"/>
  <c r="M42" i="13"/>
  <c r="P42" i="13" s="1"/>
  <c r="L42" i="13"/>
  <c r="O42" i="13" s="1"/>
  <c r="K42" i="13"/>
  <c r="N42" i="13" s="1"/>
  <c r="Q42" i="13" s="1"/>
  <c r="J42" i="13"/>
  <c r="M41" i="13"/>
  <c r="P41" i="13" s="1"/>
  <c r="L41" i="13"/>
  <c r="O41" i="13" s="1"/>
  <c r="K41" i="13"/>
  <c r="N41" i="13" s="1"/>
  <c r="Q41" i="13" s="1"/>
  <c r="J41" i="13"/>
  <c r="P40" i="13"/>
  <c r="M40" i="13"/>
  <c r="L40" i="13"/>
  <c r="O40" i="13" s="1"/>
  <c r="K40" i="13"/>
  <c r="N40" i="13" s="1"/>
  <c r="Q40" i="13" s="1"/>
  <c r="J40" i="13"/>
  <c r="O39" i="13"/>
  <c r="M39" i="13"/>
  <c r="P39" i="13" s="1"/>
  <c r="L39" i="13"/>
  <c r="K39" i="13"/>
  <c r="N39" i="13" s="1"/>
  <c r="Q39" i="13" s="1"/>
  <c r="J39" i="13"/>
  <c r="M38" i="13"/>
  <c r="P38" i="13" s="1"/>
  <c r="L38" i="13"/>
  <c r="O38" i="13" s="1"/>
  <c r="K38" i="13"/>
  <c r="N38" i="13" s="1"/>
  <c r="Q38" i="13" s="1"/>
  <c r="J38" i="13"/>
  <c r="P37" i="13"/>
  <c r="O37" i="13"/>
  <c r="M37" i="13"/>
  <c r="L37" i="13"/>
  <c r="K37" i="13"/>
  <c r="N37" i="13" s="1"/>
  <c r="Q37" i="13" s="1"/>
  <c r="J37" i="13"/>
  <c r="M36" i="13"/>
  <c r="P36" i="13" s="1"/>
  <c r="L36" i="13"/>
  <c r="O36" i="13" s="1"/>
  <c r="K36" i="13"/>
  <c r="N36" i="13" s="1"/>
  <c r="Q36" i="13" s="1"/>
  <c r="J36" i="13"/>
  <c r="N35" i="13"/>
  <c r="Q35" i="13" s="1"/>
  <c r="M35" i="13"/>
  <c r="P35" i="13" s="1"/>
  <c r="L35" i="13"/>
  <c r="O35" i="13" s="1"/>
  <c r="K35" i="13"/>
  <c r="J35" i="13"/>
  <c r="M34" i="13"/>
  <c r="P34" i="13" s="1"/>
  <c r="L34" i="13"/>
  <c r="O34" i="13" s="1"/>
  <c r="K34" i="13"/>
  <c r="N34" i="13" s="1"/>
  <c r="Q34" i="13" s="1"/>
  <c r="J34" i="13"/>
  <c r="M33" i="13"/>
  <c r="P33" i="13" s="1"/>
  <c r="L33" i="13"/>
  <c r="O33" i="13" s="1"/>
  <c r="K33" i="13"/>
  <c r="N33" i="13" s="1"/>
  <c r="Q33" i="13" s="1"/>
  <c r="J33" i="13"/>
  <c r="P32" i="13"/>
  <c r="M32" i="13"/>
  <c r="L32" i="13"/>
  <c r="O32" i="13" s="1"/>
  <c r="K32" i="13"/>
  <c r="N32" i="13" s="1"/>
  <c r="Q32" i="13" s="1"/>
  <c r="J32" i="13"/>
  <c r="P31" i="13"/>
  <c r="O31" i="13"/>
  <c r="M31" i="13"/>
  <c r="L31" i="13"/>
  <c r="K31" i="13"/>
  <c r="N31" i="13" s="1"/>
  <c r="Q31" i="13" s="1"/>
  <c r="J31" i="13"/>
  <c r="P30" i="13"/>
  <c r="O30" i="13"/>
  <c r="N30" i="13"/>
  <c r="Q30" i="13" s="1"/>
  <c r="M30" i="13"/>
  <c r="L30" i="13"/>
  <c r="K30" i="13"/>
  <c r="J30" i="13"/>
  <c r="P29" i="13"/>
  <c r="O29" i="13"/>
  <c r="N29" i="13"/>
  <c r="Q29" i="13" s="1"/>
  <c r="M29" i="13"/>
  <c r="L29" i="13"/>
  <c r="K29" i="13"/>
  <c r="J29" i="13"/>
  <c r="O28" i="13"/>
  <c r="N28" i="13"/>
  <c r="Q28" i="13" s="1"/>
  <c r="M28" i="13"/>
  <c r="P28" i="13" s="1"/>
  <c r="L28" i="13"/>
  <c r="K28" i="13"/>
  <c r="J28" i="13"/>
  <c r="N27" i="13"/>
  <c r="Q27" i="13" s="1"/>
  <c r="M27" i="13"/>
  <c r="P27" i="13" s="1"/>
  <c r="L27" i="13"/>
  <c r="O27" i="13" s="1"/>
  <c r="K27" i="13"/>
  <c r="J27" i="13"/>
  <c r="M26" i="13"/>
  <c r="P26" i="13" s="1"/>
  <c r="L26" i="13"/>
  <c r="O26" i="13" s="1"/>
  <c r="K26" i="13"/>
  <c r="N26" i="13" s="1"/>
  <c r="Q26" i="13" s="1"/>
  <c r="J26" i="13"/>
  <c r="M25" i="13"/>
  <c r="P25" i="13" s="1"/>
  <c r="L25" i="13"/>
  <c r="O25" i="13" s="1"/>
  <c r="K25" i="13"/>
  <c r="N25" i="13" s="1"/>
  <c r="Q25" i="13" s="1"/>
  <c r="J25" i="13"/>
  <c r="P24" i="13"/>
  <c r="M24" i="13"/>
  <c r="L24" i="13"/>
  <c r="O24" i="13" s="1"/>
  <c r="K24" i="13"/>
  <c r="N24" i="13" s="1"/>
  <c r="Q24" i="13" s="1"/>
  <c r="J24" i="13"/>
  <c r="P23" i="13"/>
  <c r="O23" i="13"/>
  <c r="M23" i="13"/>
  <c r="L23" i="13"/>
  <c r="K23" i="13"/>
  <c r="N23" i="13" s="1"/>
  <c r="Q23" i="13" s="1"/>
  <c r="J23" i="13"/>
  <c r="P22" i="13"/>
  <c r="O22" i="13"/>
  <c r="N22" i="13"/>
  <c r="Q22" i="13" s="1"/>
  <c r="M22" i="13"/>
  <c r="L22" i="13"/>
  <c r="K22" i="13"/>
  <c r="J22" i="13"/>
  <c r="P21" i="13"/>
  <c r="O21" i="13"/>
  <c r="N21" i="13"/>
  <c r="Q21" i="13" s="1"/>
  <c r="M21" i="13"/>
  <c r="L21" i="13"/>
  <c r="K21" i="13"/>
  <c r="J21" i="13"/>
  <c r="O20" i="13"/>
  <c r="N20" i="13"/>
  <c r="Q20" i="13" s="1"/>
  <c r="M20" i="13"/>
  <c r="P20" i="13" s="1"/>
  <c r="L20" i="13"/>
  <c r="K20" i="13"/>
  <c r="J20" i="13"/>
  <c r="N19" i="13"/>
  <c r="Q19" i="13" s="1"/>
  <c r="M19" i="13"/>
  <c r="P19" i="13" s="1"/>
  <c r="L19" i="13"/>
  <c r="O19" i="13" s="1"/>
  <c r="K19" i="13"/>
  <c r="J19" i="13"/>
  <c r="M18" i="13"/>
  <c r="P18" i="13" s="1"/>
  <c r="L18" i="13"/>
  <c r="O18" i="13" s="1"/>
  <c r="K18" i="13"/>
  <c r="N18" i="13" s="1"/>
  <c r="Q18" i="13" s="1"/>
  <c r="J18" i="13"/>
  <c r="M17" i="13"/>
  <c r="P17" i="13" s="1"/>
  <c r="L17" i="13"/>
  <c r="O17" i="13" s="1"/>
  <c r="K17" i="13"/>
  <c r="N17" i="13" s="1"/>
  <c r="Q17" i="13" s="1"/>
  <c r="J17" i="13"/>
  <c r="P16" i="13"/>
  <c r="M16" i="13"/>
  <c r="L16" i="13"/>
  <c r="O16" i="13" s="1"/>
  <c r="K16" i="13"/>
  <c r="N16" i="13" s="1"/>
  <c r="Q16" i="13" s="1"/>
  <c r="J16" i="13"/>
  <c r="P15" i="13"/>
  <c r="O15" i="13"/>
  <c r="M15" i="13"/>
  <c r="L15" i="13"/>
  <c r="K15" i="13"/>
  <c r="N15" i="13" s="1"/>
  <c r="Q15" i="13" s="1"/>
  <c r="J15" i="13"/>
  <c r="P14" i="13"/>
  <c r="O14" i="13"/>
  <c r="N14" i="13"/>
  <c r="Q14" i="13" s="1"/>
  <c r="M14" i="13"/>
  <c r="L14" i="13"/>
  <c r="K14" i="13"/>
  <c r="J14" i="13"/>
  <c r="P13" i="13"/>
  <c r="O13" i="13"/>
  <c r="N13" i="13"/>
  <c r="Q13" i="13" s="1"/>
  <c r="M13" i="13"/>
  <c r="L13" i="13"/>
  <c r="K13" i="13"/>
  <c r="J13" i="13"/>
  <c r="O12" i="13"/>
  <c r="N12" i="13"/>
  <c r="Q12" i="13" s="1"/>
  <c r="M12" i="13"/>
  <c r="P12" i="13" s="1"/>
  <c r="L12" i="13"/>
  <c r="K12" i="13"/>
  <c r="J12" i="13"/>
  <c r="N11" i="13"/>
  <c r="Q11" i="13" s="1"/>
  <c r="M11" i="13"/>
  <c r="P11" i="13" s="1"/>
  <c r="L11" i="13"/>
  <c r="O11" i="13" s="1"/>
  <c r="K11" i="13"/>
  <c r="J11" i="13"/>
  <c r="M10" i="13"/>
  <c r="P10" i="13" s="1"/>
  <c r="L10" i="13"/>
  <c r="O10" i="13" s="1"/>
  <c r="K10" i="13"/>
  <c r="N10" i="13" s="1"/>
  <c r="Q10" i="13" s="1"/>
  <c r="J10" i="13"/>
  <c r="M9" i="13"/>
  <c r="P9" i="13" s="1"/>
  <c r="L9" i="13"/>
  <c r="O9" i="13" s="1"/>
  <c r="K9" i="13"/>
  <c r="N9" i="13" s="1"/>
  <c r="Q9" i="13" s="1"/>
  <c r="J9" i="13"/>
  <c r="P8" i="13"/>
  <c r="M8" i="13"/>
  <c r="L8" i="13"/>
  <c r="O8" i="13" s="1"/>
  <c r="K8" i="13"/>
  <c r="N8" i="13" s="1"/>
  <c r="Q8" i="13" s="1"/>
  <c r="J8" i="13"/>
  <c r="P7" i="13"/>
  <c r="O7" i="13"/>
  <c r="M7" i="13"/>
  <c r="L7" i="13"/>
  <c r="K7" i="13"/>
  <c r="N7" i="13" s="1"/>
  <c r="Q7" i="13" s="1"/>
  <c r="J7" i="13"/>
  <c r="P6" i="13"/>
  <c r="O6" i="13"/>
  <c r="N6" i="13"/>
  <c r="Q6" i="13" s="1"/>
  <c r="M6" i="13"/>
  <c r="L6" i="13"/>
  <c r="K6" i="13"/>
  <c r="J6" i="13"/>
  <c r="P5" i="13"/>
  <c r="O5" i="13"/>
  <c r="N5" i="13"/>
  <c r="Q5" i="13" s="1"/>
  <c r="M5" i="13"/>
  <c r="L5" i="13"/>
  <c r="K5" i="13"/>
  <c r="J5" i="13"/>
  <c r="O4" i="13"/>
  <c r="N4" i="13"/>
  <c r="Q4" i="13" s="1"/>
  <c r="M4" i="13"/>
  <c r="P4" i="13" s="1"/>
  <c r="L4" i="13"/>
  <c r="K4" i="13"/>
  <c r="J4" i="13"/>
  <c r="N3" i="13"/>
  <c r="M3" i="13"/>
  <c r="P3" i="13" s="1"/>
  <c r="L3" i="13"/>
  <c r="O3" i="13" s="1"/>
  <c r="K3" i="13"/>
  <c r="J3" i="13"/>
  <c r="M171" i="13" l="1"/>
  <c r="M173" i="13" s="1"/>
  <c r="G13" i="10" s="1"/>
  <c r="O171" i="13"/>
  <c r="O173" i="13" s="1"/>
  <c r="I13" i="10" s="1"/>
  <c r="N171" i="13"/>
  <c r="N173" i="13" s="1"/>
  <c r="H13" i="10" s="1"/>
  <c r="Q3" i="13"/>
  <c r="Q171" i="13" s="1"/>
  <c r="Q173" i="13" s="1"/>
  <c r="K13" i="10" s="1"/>
  <c r="P171" i="13"/>
  <c r="P173" i="13" s="1"/>
  <c r="J13" i="10" s="1"/>
  <c r="L171" i="13"/>
  <c r="L173" i="13" s="1"/>
  <c r="F13" i="10" s="1"/>
  <c r="K171" i="13"/>
  <c r="K173" i="13" s="1"/>
  <c r="E13" i="10" s="1"/>
  <c r="H7" i="11"/>
  <c r="I7" i="11"/>
  <c r="H8" i="11"/>
  <c r="I8" i="11"/>
  <c r="H9" i="11"/>
  <c r="I9" i="11"/>
  <c r="H10" i="11"/>
  <c r="I10" i="11"/>
  <c r="H11" i="11"/>
  <c r="I11" i="11"/>
  <c r="H12" i="11"/>
  <c r="I12" i="11"/>
  <c r="H13" i="11"/>
  <c r="I13" i="11"/>
  <c r="H14" i="11"/>
  <c r="I14" i="11"/>
  <c r="H16" i="11"/>
  <c r="I16" i="11"/>
  <c r="H17" i="11"/>
  <c r="I17" i="11"/>
  <c r="H18" i="11"/>
  <c r="I18" i="11"/>
  <c r="H20" i="11"/>
  <c r="I20" i="11"/>
  <c r="H21" i="11"/>
  <c r="I21" i="11"/>
  <c r="H22" i="11"/>
  <c r="I22" i="11"/>
  <c r="H23" i="11"/>
  <c r="I23" i="11"/>
  <c r="H24" i="11"/>
  <c r="I24" i="11"/>
  <c r="H25" i="11"/>
  <c r="I25" i="11"/>
  <c r="H26" i="11"/>
  <c r="I26" i="11"/>
  <c r="D13" i="11"/>
  <c r="D14" i="11"/>
  <c r="D16" i="11"/>
  <c r="D17" i="11"/>
  <c r="D18" i="11"/>
  <c r="D20" i="11"/>
  <c r="D21" i="11"/>
  <c r="D22" i="11"/>
  <c r="D23" i="11"/>
  <c r="D24" i="11"/>
  <c r="D25" i="11"/>
  <c r="D26" i="11"/>
  <c r="D29" i="11"/>
  <c r="D30" i="11"/>
  <c r="D31" i="11"/>
  <c r="D32" i="11"/>
  <c r="D33" i="11"/>
  <c r="C13" i="11"/>
  <c r="C14" i="11"/>
  <c r="C16" i="11"/>
  <c r="C17" i="11"/>
  <c r="C18" i="11"/>
  <c r="C20" i="11"/>
  <c r="C21" i="11"/>
  <c r="C22" i="11"/>
  <c r="C23" i="11"/>
  <c r="C24" i="11"/>
  <c r="C25" i="11"/>
  <c r="C26" i="11"/>
  <c r="C29" i="11"/>
  <c r="C30" i="11"/>
  <c r="C31" i="11"/>
  <c r="C32" i="11"/>
  <c r="C33" i="11"/>
  <c r="C4" i="11"/>
  <c r="B32" i="11"/>
  <c r="B12" i="11"/>
  <c r="C12" i="11" s="1"/>
  <c r="B8" i="11"/>
  <c r="D8" i="11" s="1"/>
  <c r="B7" i="11"/>
  <c r="C7" i="11" s="1"/>
  <c r="B11" i="11"/>
  <c r="D11" i="11" s="1"/>
  <c r="B10" i="11"/>
  <c r="D10" i="11" s="1"/>
  <c r="G6" i="11"/>
  <c r="H6" i="11" s="1"/>
  <c r="B9" i="11"/>
  <c r="C9" i="11" s="1"/>
  <c r="G4" i="11"/>
  <c r="H4" i="11" s="1"/>
  <c r="B6" i="11"/>
  <c r="C6" i="11" s="1"/>
  <c r="B5" i="11"/>
  <c r="C5" i="11" s="1"/>
  <c r="B4" i="11"/>
  <c r="D4" i="11" s="1"/>
  <c r="D26" i="7"/>
  <c r="D27" i="10"/>
  <c r="E27" i="10"/>
  <c r="F27" i="10"/>
  <c r="G27" i="10"/>
  <c r="H27" i="10"/>
  <c r="I27" i="10"/>
  <c r="J27" i="10"/>
  <c r="K27" i="10"/>
  <c r="C27" i="10"/>
  <c r="I4" i="11" l="1"/>
  <c r="C8" i="11"/>
  <c r="C11" i="11"/>
  <c r="I6" i="11"/>
  <c r="C10" i="11"/>
  <c r="D7" i="11"/>
  <c r="D6" i="11"/>
  <c r="D9" i="11"/>
  <c r="D5" i="11"/>
  <c r="D12" i="11"/>
  <c r="B15" i="11"/>
  <c r="B19" i="11" l="1"/>
  <c r="C15" i="11"/>
  <c r="D15" i="11"/>
  <c r="B27" i="11" l="1"/>
  <c r="D19" i="11"/>
  <c r="C19" i="11"/>
  <c r="D27" i="11" l="1"/>
  <c r="C27" i="11"/>
  <c r="E18" i="6" l="1"/>
  <c r="F9" i="10" s="1"/>
  <c r="G18" i="6"/>
  <c r="H9" i="10" s="1"/>
  <c r="I18" i="6"/>
  <c r="J9" i="10" s="1"/>
  <c r="K18" i="6"/>
  <c r="C18" i="6"/>
  <c r="D9" i="10" s="1"/>
  <c r="B5" i="6"/>
  <c r="B41" i="4"/>
  <c r="C10" i="10" s="1"/>
  <c r="D11" i="10"/>
  <c r="E11" i="10"/>
  <c r="F11" i="10"/>
  <c r="G11" i="10"/>
  <c r="H11" i="10"/>
  <c r="I11" i="10"/>
  <c r="J11" i="10"/>
  <c r="K11" i="10"/>
  <c r="C11" i="10"/>
  <c r="D8" i="10"/>
  <c r="E8" i="10" s="1"/>
  <c r="F8" i="10" s="1"/>
  <c r="G8" i="10" s="1"/>
  <c r="H8" i="10" s="1"/>
  <c r="I8" i="10" s="1"/>
  <c r="J8" i="10" s="1"/>
  <c r="K8" i="10" s="1"/>
  <c r="J39" i="8"/>
  <c r="D5" i="6" l="1"/>
  <c r="D18" i="6" s="1"/>
  <c r="E9" i="10" s="1"/>
  <c r="G5" i="11"/>
  <c r="B18" i="6"/>
  <c r="C9" i="10" s="1"/>
  <c r="C17" i="10" s="1"/>
  <c r="C29" i="10" s="1"/>
  <c r="C30" i="10" s="1"/>
  <c r="F5" i="6"/>
  <c r="F18" i="6" s="1"/>
  <c r="I5" i="11" l="1"/>
  <c r="H5" i="11"/>
  <c r="G15" i="11"/>
  <c r="H5" i="6"/>
  <c r="H18" i="6" s="1"/>
  <c r="G9" i="10"/>
  <c r="G19" i="11" l="1"/>
  <c r="I15" i="11"/>
  <c r="H15" i="11"/>
  <c r="J5" i="6"/>
  <c r="J18" i="6" s="1"/>
  <c r="I9" i="10"/>
  <c r="G27" i="11" l="1"/>
  <c r="H19" i="11"/>
  <c r="I19" i="11"/>
  <c r="K9" i="10"/>
  <c r="L5" i="6"/>
  <c r="L18" i="6" s="1"/>
  <c r="I27" i="11" l="1"/>
  <c r="H27" i="11"/>
  <c r="B28" i="11"/>
  <c r="B34" i="11" l="1"/>
  <c r="C28" i="11"/>
  <c r="D28" i="11"/>
  <c r="J4" i="4"/>
  <c r="J41" i="4" s="1"/>
  <c r="K10" i="10" s="1"/>
  <c r="K17" i="10" s="1"/>
  <c r="K29" i="10" s="1"/>
  <c r="K30" i="10" s="1"/>
  <c r="I4" i="4"/>
  <c r="I41" i="4" s="1"/>
  <c r="J10" i="10" s="1"/>
  <c r="J17" i="10" s="1"/>
  <c r="J29" i="10" s="1"/>
  <c r="J30" i="10" s="1"/>
  <c r="H4" i="4"/>
  <c r="H41" i="4" s="1"/>
  <c r="I10" i="10" s="1"/>
  <c r="I17" i="10" s="1"/>
  <c r="I29" i="10" s="1"/>
  <c r="I30" i="10" s="1"/>
  <c r="G4" i="4"/>
  <c r="G41" i="4" s="1"/>
  <c r="H10" i="10" s="1"/>
  <c r="H17" i="10" s="1"/>
  <c r="H29" i="10" s="1"/>
  <c r="H30" i="10" s="1"/>
  <c r="F4" i="4"/>
  <c r="F41" i="4" s="1"/>
  <c r="G10" i="10" s="1"/>
  <c r="G17" i="10" s="1"/>
  <c r="G29" i="10" s="1"/>
  <c r="G30" i="10" s="1"/>
  <c r="E4" i="4"/>
  <c r="E41" i="4" s="1"/>
  <c r="F10" i="10" s="1"/>
  <c r="F17" i="10" s="1"/>
  <c r="F29" i="10" s="1"/>
  <c r="F30" i="10" s="1"/>
  <c r="D4" i="4"/>
  <c r="D41" i="4" s="1"/>
  <c r="E10" i="10" s="1"/>
  <c r="E17" i="10" s="1"/>
  <c r="E29" i="10" s="1"/>
  <c r="E30" i="10" s="1"/>
  <c r="C4" i="4"/>
  <c r="D25" i="7"/>
  <c r="D24" i="7"/>
  <c r="B27" i="7"/>
  <c r="E22" i="7"/>
  <c r="E21" i="7"/>
  <c r="E20" i="7"/>
  <c r="E19" i="7"/>
  <c r="E18" i="7"/>
  <c r="E17" i="7"/>
  <c r="E16" i="7"/>
  <c r="E15" i="7"/>
  <c r="E23" i="7" s="1"/>
  <c r="C34" i="11" l="1"/>
  <c r="D34" i="11"/>
  <c r="G89" i="4"/>
  <c r="C41" i="4"/>
  <c r="D10" i="10" s="1"/>
  <c r="D17" i="10" s="1"/>
  <c r="D29" i="10" s="1"/>
  <c r="D30" i="10" s="1"/>
  <c r="C73" i="3" l="1"/>
  <c r="D73" i="3"/>
  <c r="E73" i="3"/>
  <c r="H73" i="3"/>
  <c r="I73" i="3"/>
  <c r="J73" i="3"/>
  <c r="K73" i="3"/>
  <c r="L73" i="3"/>
  <c r="M73" i="3"/>
  <c r="N73" i="3"/>
  <c r="C74" i="3"/>
  <c r="D74" i="3"/>
  <c r="E74" i="3"/>
  <c r="H74" i="3"/>
  <c r="I74" i="3"/>
  <c r="J74" i="3"/>
  <c r="K74" i="3"/>
  <c r="L74" i="3"/>
  <c r="M74" i="3"/>
  <c r="N74" i="3"/>
  <c r="C75" i="3"/>
  <c r="D75" i="3"/>
  <c r="E75" i="3"/>
  <c r="H75" i="3"/>
  <c r="I75" i="3"/>
  <c r="J75" i="3"/>
  <c r="K75" i="3"/>
  <c r="L75" i="3"/>
  <c r="M75" i="3"/>
  <c r="N75" i="3"/>
  <c r="B75" i="3"/>
  <c r="B74" i="3"/>
  <c r="B73" i="3"/>
  <c r="C70" i="3"/>
  <c r="D70" i="3"/>
  <c r="E70" i="3"/>
  <c r="F70" i="3"/>
  <c r="F74" i="3" s="1"/>
  <c r="G70" i="3"/>
  <c r="G74" i="3" s="1"/>
  <c r="H70" i="3"/>
  <c r="I70" i="3"/>
  <c r="J70" i="3"/>
  <c r="K70" i="3"/>
  <c r="L70" i="3"/>
  <c r="M70" i="3"/>
  <c r="N70" i="3"/>
  <c r="B70" i="3"/>
  <c r="G73" i="3" l="1"/>
  <c r="G75" i="3"/>
  <c r="F73" i="3"/>
  <c r="F75" i="3"/>
</calcChain>
</file>

<file path=xl/comments1.xml><?xml version="1.0" encoding="utf-8"?>
<comments xmlns="http://schemas.openxmlformats.org/spreadsheetml/2006/main">
  <authors>
    <author>Anne</author>
    <author>anne.milkovich</author>
    <author>Christensen, JoAnn</author>
    <author>joannc</author>
  </authors>
  <commentList>
    <comment ref="C9" authorId="0">
      <text>
        <r>
          <rPr>
            <b/>
            <sz val="9"/>
            <color indexed="81"/>
            <rFont val="Tahoma"/>
            <family val="2"/>
          </rPr>
          <t>Anne:</t>
        </r>
        <r>
          <rPr>
            <sz val="9"/>
            <color indexed="81"/>
            <rFont val="Tahoma"/>
            <family val="2"/>
          </rPr>
          <t xml:space="preserve">
This is a report of Billings cost only. They are direct billed. Do not rebill.</t>
        </r>
      </text>
    </comment>
    <comment ref="C14" authorId="1">
      <text>
        <r>
          <rPr>
            <b/>
            <sz val="8"/>
            <color indexed="81"/>
            <rFont val="Tahoma"/>
            <family val="2"/>
          </rPr>
          <t>anne.milkovich:</t>
        </r>
        <r>
          <rPr>
            <sz val="8"/>
            <color indexed="81"/>
            <rFont val="Tahoma"/>
            <family val="2"/>
          </rPr>
          <t xml:space="preserve">
Billings Local Loop is direct billed so admin fee does not apply.</t>
        </r>
      </text>
    </comment>
    <comment ref="C21" authorId="2">
      <text>
        <r>
          <rPr>
            <b/>
            <sz val="9"/>
            <color indexed="81"/>
            <rFont val="Tahoma"/>
            <family val="2"/>
          </rPr>
          <t>Christensen, JoAnn:</t>
        </r>
        <r>
          <rPr>
            <sz val="9"/>
            <color indexed="81"/>
            <rFont val="Tahoma"/>
            <family val="2"/>
          </rPr>
          <t xml:space="preserve">
Billings has not connected yet to PNWG. 11/25/13</t>
        </r>
      </text>
    </comment>
    <comment ref="C22" authorId="2">
      <text>
        <r>
          <rPr>
            <b/>
            <sz val="9"/>
            <color indexed="81"/>
            <rFont val="Tahoma"/>
            <family val="2"/>
          </rPr>
          <t>Christensen, JoAnn:</t>
        </r>
        <r>
          <rPr>
            <sz val="9"/>
            <color indexed="81"/>
            <rFont val="Tahoma"/>
            <family val="2"/>
          </rPr>
          <t xml:space="preserve">
Billings has not connected yet. 11/25/13</t>
        </r>
      </text>
    </comment>
    <comment ref="C23" authorId="3">
      <text>
        <r>
          <rPr>
            <b/>
            <sz val="9"/>
            <color indexed="81"/>
            <rFont val="Tahoma"/>
            <family val="2"/>
          </rPr>
          <t xml:space="preserve">joannc:
</t>
        </r>
        <r>
          <rPr>
            <sz val="9"/>
            <color indexed="81"/>
            <rFont val="Tahoma"/>
            <family val="2"/>
          </rPr>
          <t xml:space="preserve">Billings has not connected to either yet. 11/25/13
Billings is connecting to No. Tier &amp; PNWG July 1, 2012 and will have 1GB which is 10% so will be charged accordingly.  4/26/12
</t>
        </r>
      </text>
    </comment>
    <comment ref="D23" authorId="3">
      <text>
        <r>
          <rPr>
            <b/>
            <sz val="9"/>
            <color indexed="81"/>
            <rFont val="Tahoma"/>
            <family val="2"/>
          </rPr>
          <t>joannc:</t>
        </r>
        <r>
          <rPr>
            <sz val="9"/>
            <color indexed="81"/>
            <rFont val="Tahoma"/>
            <family val="2"/>
          </rPr>
          <t xml:space="preserve">
GF uses 28Mbps out of 10GB. So share would be .0028%. 4/25/12</t>
        </r>
      </text>
    </comment>
    <comment ref="E23" authorId="3">
      <text>
        <r>
          <rPr>
            <b/>
            <sz val="9"/>
            <color indexed="81"/>
            <rFont val="Tahoma"/>
            <family val="2"/>
          </rPr>
          <t>joannc:</t>
        </r>
        <r>
          <rPr>
            <sz val="9"/>
            <color indexed="81"/>
            <rFont val="Tahoma"/>
            <family val="2"/>
          </rPr>
          <t xml:space="preserve">
Havre uses 19Mbps out of 10GB. So share would be .0019%. 4/25/12</t>
        </r>
      </text>
    </comment>
    <comment ref="K30" authorId="1">
      <text>
        <r>
          <rPr>
            <b/>
            <sz val="8"/>
            <color indexed="81"/>
            <rFont val="Tahoma"/>
            <family val="2"/>
          </rPr>
          <t>anne.milkovich:</t>
        </r>
        <r>
          <rPr>
            <sz val="8"/>
            <color indexed="81"/>
            <rFont val="Tahoma"/>
            <family val="2"/>
          </rPr>
          <t xml:space="preserve">
Parking 2%
SUB 7%
Student Health 18%
Res Life 43%</t>
        </r>
      </text>
    </comment>
    <comment ref="L30" authorId="1">
      <text>
        <r>
          <rPr>
            <b/>
            <sz val="8"/>
            <color indexed="81"/>
            <rFont val="Tahoma"/>
            <family val="2"/>
          </rPr>
          <t>anne.milkovich:</t>
        </r>
        <r>
          <rPr>
            <sz val="8"/>
            <color indexed="81"/>
            <rFont val="Tahoma"/>
            <family val="2"/>
          </rPr>
          <t xml:space="preserve">
AES 8312
CES 6500
FSTS 283</t>
        </r>
      </text>
    </comment>
    <comment ref="A100" authorId="1">
      <text>
        <r>
          <rPr>
            <b/>
            <sz val="8"/>
            <color indexed="81"/>
            <rFont val="Tahoma"/>
            <family val="2"/>
          </rPr>
          <t>anne.milkovich:</t>
        </r>
        <r>
          <rPr>
            <sz val="8"/>
            <color indexed="81"/>
            <rFont val="Tahoma"/>
            <family val="2"/>
          </rPr>
          <t xml:space="preserve">
See MSUNet Expenditures. Data obtained from Banner FGITBSR. 
Use Total Expenditures by Campus
Current Unrestricted = General Operating (#A)
Current Restricted  G&amp;C = Restricted (#C)
Designated = Designated (#B)
Auxiliary = Auxiliary (#D)</t>
        </r>
      </text>
    </comment>
  </commentList>
</comments>
</file>

<file path=xl/comments2.xml><?xml version="1.0" encoding="utf-8"?>
<comments xmlns="http://schemas.openxmlformats.org/spreadsheetml/2006/main">
  <authors>
    <author>Ken Wardinsky</author>
  </authors>
  <commentList>
    <comment ref="A21" authorId="0">
      <text>
        <r>
          <rPr>
            <b/>
            <sz val="9"/>
            <color indexed="81"/>
            <rFont val="Tahoma"/>
            <family val="2"/>
          </rPr>
          <t>Ken Wardinsky:</t>
        </r>
      </text>
    </comment>
  </commentList>
</comments>
</file>

<file path=xl/comments3.xml><?xml version="1.0" encoding="utf-8"?>
<comments xmlns="http://schemas.openxmlformats.org/spreadsheetml/2006/main">
  <authors>
    <author>Ken Wardinsky</author>
  </authors>
  <commentList>
    <comment ref="E14" authorId="0">
      <text>
        <r>
          <rPr>
            <b/>
            <sz val="9"/>
            <color indexed="81"/>
            <rFont val="Tahoma"/>
            <family val="2"/>
          </rPr>
          <t>Ken Wardinsky:</t>
        </r>
        <r>
          <rPr>
            <sz val="9"/>
            <color indexed="81"/>
            <rFont val="Tahoma"/>
            <family val="2"/>
          </rPr>
          <t xml:space="preserve">
Moved from B136</t>
        </r>
      </text>
    </comment>
  </commentList>
</comments>
</file>

<file path=xl/sharedStrings.xml><?xml version="1.0" encoding="utf-8"?>
<sst xmlns="http://schemas.openxmlformats.org/spreadsheetml/2006/main" count="3155" uniqueCount="1477">
  <si>
    <t>Closet</t>
  </si>
  <si>
    <t>Model</t>
  </si>
  <si>
    <t>Serial</t>
  </si>
  <si>
    <t>10gb Fiber</t>
  </si>
  <si>
    <t>1gb Fiber</t>
  </si>
  <si>
    <t>ServerFarm</t>
  </si>
  <si>
    <t>Indigo</t>
  </si>
  <si>
    <t>10/100/100</t>
  </si>
  <si>
    <t>10/100</t>
  </si>
  <si>
    <t>SW Ver</t>
  </si>
  <si>
    <t>Stack</t>
  </si>
  <si>
    <t>WS-C3750G-48TS-S</t>
  </si>
  <si>
    <t>FOC0843U05C</t>
  </si>
  <si>
    <t>WS-C3750E-48TD-S</t>
  </si>
  <si>
    <t>FDO1333V03S</t>
  </si>
  <si>
    <t>12.2(58)SE2</t>
  </si>
  <si>
    <t>WS-C3750E-24PD</t>
  </si>
  <si>
    <t>FDO1214V0B9</t>
  </si>
  <si>
    <t>Blue</t>
  </si>
  <si>
    <t>WS-C3750E-24PD-S</t>
  </si>
  <si>
    <t>FDO1214R012</t>
  </si>
  <si>
    <t>12.2(55)SE4</t>
  </si>
  <si>
    <t>WS-C3750-48TS-S</t>
  </si>
  <si>
    <t>FDO1115X14J</t>
  </si>
  <si>
    <t>FDO1137X04V</t>
  </si>
  <si>
    <t>Lavendar</t>
  </si>
  <si>
    <t>FDO1214V0BB</t>
  </si>
  <si>
    <t>FDO1137X1MG</t>
  </si>
  <si>
    <t>CAT0821N1Y0</t>
  </si>
  <si>
    <t>WS-C3550-24</t>
  </si>
  <si>
    <t>12.1(19)EA1c</t>
  </si>
  <si>
    <t>Red</t>
  </si>
  <si>
    <t>CAT1116ZJP1</t>
  </si>
  <si>
    <t>CAT1116ZJQS</t>
  </si>
  <si>
    <t>FDO1214V0BC</t>
  </si>
  <si>
    <t>Magenta</t>
  </si>
  <si>
    <t>FDO1214V0B8</t>
  </si>
  <si>
    <t>FDO1212X1D6</t>
  </si>
  <si>
    <t>Green</t>
  </si>
  <si>
    <t>FHK0615W0TT</t>
  </si>
  <si>
    <t>12.0(5)WC3b</t>
  </si>
  <si>
    <t>WS-C3524-XL</t>
  </si>
  <si>
    <t>CAT1037ZGEK</t>
  </si>
  <si>
    <t>CAT1106ZKM8</t>
  </si>
  <si>
    <t>CAT1037ZGF1</t>
  </si>
  <si>
    <t>FDO1214V0BJ</t>
  </si>
  <si>
    <t>Teal</t>
  </si>
  <si>
    <t>FDO1214V0C0</t>
  </si>
  <si>
    <t>Orange</t>
  </si>
  <si>
    <t>Yellow</t>
  </si>
  <si>
    <t>FDO1137X1MU</t>
  </si>
  <si>
    <t>FDO1214V0AD</t>
  </si>
  <si>
    <t>FDO1131Z6B0</t>
  </si>
  <si>
    <t>FDO1137X09M</t>
  </si>
  <si>
    <t>Core</t>
  </si>
  <si>
    <t>12.1(22)EA2</t>
  </si>
  <si>
    <t>Name</t>
  </si>
  <si>
    <t>IP Address</t>
  </si>
  <si>
    <t>PBXSwitch</t>
  </si>
  <si>
    <t>10.50.1.240</t>
  </si>
  <si>
    <t>x</t>
  </si>
  <si>
    <t>WS-C2950T-24</t>
  </si>
  <si>
    <t>FOC0908Z1TK</t>
  </si>
  <si>
    <t>n/a</t>
  </si>
  <si>
    <t>?</t>
  </si>
  <si>
    <t>WS-C2960-24TT-L</t>
  </si>
  <si>
    <t>FOC1149Z4L8</t>
  </si>
  <si>
    <t>12.2(35)SE5</t>
  </si>
  <si>
    <t>207.196.150.27</t>
  </si>
  <si>
    <t>Yellow3750ST</t>
  </si>
  <si>
    <t>207.196.150.28</t>
  </si>
  <si>
    <t>207.196.150.29</t>
  </si>
  <si>
    <t>FOC1149Z4MS</t>
  </si>
  <si>
    <t>FOC1149Z4N3</t>
  </si>
  <si>
    <t>207.196.150.250</t>
  </si>
  <si>
    <t>207.196.150.248</t>
  </si>
  <si>
    <t>Orange3750SW</t>
  </si>
  <si>
    <t>10.50.1.220</t>
  </si>
  <si>
    <t>Teal3750SW</t>
  </si>
  <si>
    <t>207.196.150.251</t>
  </si>
  <si>
    <t>Green3524SW</t>
  </si>
  <si>
    <t>207.196.150.4</t>
  </si>
  <si>
    <t>Green3750ST</t>
  </si>
  <si>
    <t>207.196.150.246</t>
  </si>
  <si>
    <t>Magenta3750ST</t>
  </si>
  <si>
    <t>207.196.150.8</t>
  </si>
  <si>
    <t>Red3750ST</t>
  </si>
  <si>
    <t>207.196.150.3</t>
  </si>
  <si>
    <t>Lavender3550SW</t>
  </si>
  <si>
    <t>207.196.150.249</t>
  </si>
  <si>
    <t>Lavender3750ST</t>
  </si>
  <si>
    <t>207.196.150.5</t>
  </si>
  <si>
    <t>Blue3750ST</t>
  </si>
  <si>
    <t>207.196.150.238</t>
  </si>
  <si>
    <t>Indigo3750SW</t>
  </si>
  <si>
    <t>207.196.150.242</t>
  </si>
  <si>
    <t>Green2950SW</t>
  </si>
  <si>
    <t>207.196.150.239</t>
  </si>
  <si>
    <t>FOC0940Z09V</t>
  </si>
  <si>
    <t>12.1(22)EA4a</t>
  </si>
  <si>
    <t>PBXElan</t>
  </si>
  <si>
    <t>207.196.128.75</t>
  </si>
  <si>
    <t>WS-C2950-24</t>
  </si>
  <si>
    <t>12.1(22)EA12</t>
  </si>
  <si>
    <t>FHK0715Z1U8</t>
  </si>
  <si>
    <t>207.196.150.31</t>
  </si>
  <si>
    <t>FOC1149Z3BJ</t>
  </si>
  <si>
    <t>HH2960SW</t>
  </si>
  <si>
    <t>A205</t>
  </si>
  <si>
    <t>A203</t>
  </si>
  <si>
    <t>A211</t>
  </si>
  <si>
    <t>LearnCtr2960SW</t>
  </si>
  <si>
    <t>207.196.150.26</t>
  </si>
  <si>
    <t>FOC1017X4SX</t>
  </si>
  <si>
    <t>12.2(25)FX</t>
  </si>
  <si>
    <t>G121</t>
  </si>
  <si>
    <t>207.196.150.247</t>
  </si>
  <si>
    <t>FOC1218Y2DM</t>
  </si>
  <si>
    <t>G121_2960SW</t>
  </si>
  <si>
    <t>A203_2960SW</t>
  </si>
  <si>
    <t>A205_2960SW</t>
  </si>
  <si>
    <t>A211_2960SW</t>
  </si>
  <si>
    <t>B125</t>
  </si>
  <si>
    <t>10.50.1.249</t>
  </si>
  <si>
    <t>FOC1238U27M</t>
  </si>
  <si>
    <t>B125_2960SW</t>
  </si>
  <si>
    <t>10.50.1.248</t>
  </si>
  <si>
    <t>FOC1238U27V</t>
  </si>
  <si>
    <t>B136</t>
  </si>
  <si>
    <t>B136_2960SW</t>
  </si>
  <si>
    <t>B134</t>
  </si>
  <si>
    <t>B134_2960SW</t>
  </si>
  <si>
    <t>10.50.1.247</t>
  </si>
  <si>
    <t>FOC1238U26R</t>
  </si>
  <si>
    <t>B138</t>
  </si>
  <si>
    <t>B138_2960SW</t>
  </si>
  <si>
    <t>10.50.1.246</t>
  </si>
  <si>
    <t>FOC1238U275</t>
  </si>
  <si>
    <t>B127</t>
  </si>
  <si>
    <t>10.50.1.245</t>
  </si>
  <si>
    <t>FOC1237Z4SF</t>
  </si>
  <si>
    <t>B127_2960SW</t>
  </si>
  <si>
    <t>B124</t>
  </si>
  <si>
    <t>B124_2960SW</t>
  </si>
  <si>
    <t>10.50.1.244</t>
  </si>
  <si>
    <t>FOC1237Y3TQ</t>
  </si>
  <si>
    <t>B128</t>
  </si>
  <si>
    <t>10.50.1.243</t>
  </si>
  <si>
    <t>FOC1237W4ZG</t>
  </si>
  <si>
    <t>B128_2960SW</t>
  </si>
  <si>
    <t>B126</t>
  </si>
  <si>
    <t>10.50.1.242</t>
  </si>
  <si>
    <t>FOC1237W4ZB</t>
  </si>
  <si>
    <t>B126_2960SW</t>
  </si>
  <si>
    <t>B102</t>
  </si>
  <si>
    <t>10.50.1.238</t>
  </si>
  <si>
    <t>FOC0822W07C</t>
  </si>
  <si>
    <t>B102_2950SW</t>
  </si>
  <si>
    <t>10.50.1.226</t>
  </si>
  <si>
    <t>FCZ0916Y0BD</t>
  </si>
  <si>
    <t>B108_2950SW</t>
  </si>
  <si>
    <t>BGOffice1</t>
  </si>
  <si>
    <t>Switch</t>
  </si>
  <si>
    <t>WS-C2912-</t>
  </si>
  <si>
    <t>10.50.1.235</t>
  </si>
  <si>
    <t>Bruce's Office</t>
  </si>
  <si>
    <t>12.0(5)WC17</t>
  </si>
  <si>
    <t>WS-C2924-XL</t>
  </si>
  <si>
    <t>FAB0447T0VA</t>
  </si>
  <si>
    <t>Notes</t>
  </si>
  <si>
    <t>EoLife</t>
  </si>
  <si>
    <t>EoSale</t>
  </si>
  <si>
    <t>EoSoftW</t>
  </si>
  <si>
    <t>EoService</t>
  </si>
  <si>
    <t>EoSupport</t>
  </si>
  <si>
    <t>24PoE</t>
  </si>
  <si>
    <t>2GBIC</t>
  </si>
  <si>
    <t>FCZ0920Y26Y</t>
  </si>
  <si>
    <t>12.1(22)EA4</t>
  </si>
  <si>
    <t>ASAtoSummit</t>
  </si>
  <si>
    <t>FAB0447M062</t>
  </si>
  <si>
    <t>12.0(5.2)XU</t>
  </si>
  <si>
    <t>FOC1017X4VJ</t>
  </si>
  <si>
    <t>207.196.150.7</t>
  </si>
  <si>
    <t>CoreToEdge2960SW</t>
  </si>
  <si>
    <t>EdgeToASA</t>
  </si>
  <si>
    <t xml:space="preserve">Need IP address configured </t>
  </si>
  <si>
    <t>LearningCtr</t>
  </si>
  <si>
    <t>Cafeteria Closet</t>
  </si>
  <si>
    <t>Bruce's switch for netlab</t>
  </si>
  <si>
    <t>TestCtr2960SW</t>
  </si>
  <si>
    <t>10.50.1.228</t>
  </si>
  <si>
    <t>FCQ1603X28M</t>
  </si>
  <si>
    <t>12.2(50)SE5</t>
  </si>
  <si>
    <t>Testing Ctr</t>
  </si>
  <si>
    <t>MSUGFASA5520</t>
  </si>
  <si>
    <t>207.196.128.41</t>
  </si>
  <si>
    <t>ASA5520</t>
  </si>
  <si>
    <t>8.2(3)</t>
  </si>
  <si>
    <t>207.196.128.42</t>
  </si>
  <si>
    <t>JMX1242L1H2</t>
  </si>
  <si>
    <t>JMX1242L1H0</t>
  </si>
  <si>
    <t>207.196.128.233</t>
  </si>
  <si>
    <t>MSUGFEdgeRT</t>
  </si>
  <si>
    <t>12.4(15)T10</t>
  </si>
  <si>
    <t>FTX1340AHL8</t>
  </si>
  <si>
    <t>MSU-CON</t>
  </si>
  <si>
    <t>FireTraining</t>
  </si>
  <si>
    <t>MSU-CON-GF</t>
  </si>
  <si>
    <t>207.196.128.22</t>
  </si>
  <si>
    <t>12.4(15)T7</t>
  </si>
  <si>
    <t>FOC08153H6K</t>
  </si>
  <si>
    <t>12.1(20)EA1a</t>
  </si>
  <si>
    <t>FOC0834T0RZ</t>
  </si>
  <si>
    <t>msucon2950_2</t>
  </si>
  <si>
    <t>207.196.128.129</t>
  </si>
  <si>
    <t>12.1(14)EA1a</t>
  </si>
  <si>
    <t>FOC0751S0HD</t>
  </si>
  <si>
    <t>207.196.128.130</t>
  </si>
  <si>
    <t>msucon2950_1</t>
  </si>
  <si>
    <t>CDC</t>
  </si>
  <si>
    <t>Storage</t>
  </si>
  <si>
    <t>B128_3560SW</t>
  </si>
  <si>
    <t>10.50.1.250</t>
  </si>
  <si>
    <t>WS-C3560X-48T-L</t>
  </si>
  <si>
    <t>FDO1637Z0Z7</t>
  </si>
  <si>
    <t>12.2(55)SE3</t>
  </si>
  <si>
    <t>Testing Ctr(new)</t>
  </si>
  <si>
    <t>10.50.1.229</t>
  </si>
  <si>
    <t>12.2(55)SE5</t>
  </si>
  <si>
    <t>CDC2960SW</t>
  </si>
  <si>
    <t>WS-C2960S-48FPD-L</t>
  </si>
  <si>
    <t>FOC1627Z27S</t>
  </si>
  <si>
    <t>fts_summitnetII</t>
  </si>
  <si>
    <t>207.196.128.14</t>
  </si>
  <si>
    <t>2620XM</t>
  </si>
  <si>
    <t>12.3(8)T11</t>
  </si>
  <si>
    <t>JAE07300JS7</t>
  </si>
  <si>
    <t>207.196.128.220</t>
  </si>
  <si>
    <t>fts_2950_switch</t>
  </si>
  <si>
    <t>FAB0524Q3AE</t>
  </si>
  <si>
    <t>bozcon2940</t>
  </si>
  <si>
    <t>207.196.128.151</t>
  </si>
  <si>
    <t>WS-C2940-8TT-S</t>
  </si>
  <si>
    <t>FHK0919X197</t>
  </si>
  <si>
    <t>2 or</t>
  </si>
  <si>
    <t>2  X2</t>
  </si>
  <si>
    <t>4SFP</t>
  </si>
  <si>
    <t>48PoE</t>
  </si>
  <si>
    <t>isci_switch</t>
  </si>
  <si>
    <t>10.50.1.237</t>
  </si>
  <si>
    <t>FOC1332Z3P0</t>
  </si>
  <si>
    <t>upgrade and use old to upgrade blue</t>
  </si>
  <si>
    <t>Requirements</t>
  </si>
  <si>
    <t>2 10gig fiber 48 10/100/1000 stackable redundant power supply NO PoE</t>
  </si>
  <si>
    <t>2 10gig fiber 48 10/100/1000 stackable redundant power supply WITH PoE</t>
  </si>
  <si>
    <t>upgrade from ServerFarm send to ???</t>
  </si>
  <si>
    <t>upgrade and use old to upgrade Lavender</t>
  </si>
  <si>
    <t>upgrade from Indigo</t>
  </si>
  <si>
    <t>lowest # of 10/100/1000 ports NO PoE</t>
  </si>
  <si>
    <t>upgraded (Bruce using with NetLab)</t>
  </si>
  <si>
    <t>Connected To</t>
  </si>
  <si>
    <t>Cisco4402_2</t>
  </si>
  <si>
    <t>207.196.130.243</t>
  </si>
  <si>
    <t>AIR-WLC4402-12-K9</t>
  </si>
  <si>
    <t>FOC1141F0LV</t>
  </si>
  <si>
    <t>7.0.116.0</t>
  </si>
  <si>
    <t>CISCO-LWAPP-CONTROLLER</t>
  </si>
  <si>
    <t>207.196.130.242</t>
  </si>
  <si>
    <t>FLS0926009F</t>
  </si>
  <si>
    <t>AIR-LAP1142N-A-K9</t>
  </si>
  <si>
    <t>10.0.0.29</t>
  </si>
  <si>
    <t>APc471.fe8f.ebaa_dh</t>
  </si>
  <si>
    <t>Dental Hygiene</t>
  </si>
  <si>
    <t>Boot Ver</t>
  </si>
  <si>
    <t>12.4.18.3</t>
  </si>
  <si>
    <t>IOS Ver</t>
  </si>
  <si>
    <t>12.4(23c)JA2</t>
  </si>
  <si>
    <t>FTX1446E2EX</t>
  </si>
  <si>
    <t>APc471.fe8f.ea86_library</t>
  </si>
  <si>
    <t>Library</t>
  </si>
  <si>
    <t>10.0.0.28</t>
  </si>
  <si>
    <t>FTX1446E2F4</t>
  </si>
  <si>
    <t>AP0021.55bc.69f8_hh_east</t>
  </si>
  <si>
    <t>10.0.0.126</t>
  </si>
  <si>
    <t>12.4.10.0</t>
  </si>
  <si>
    <t>AIR-LAP1252AG-A-K9</t>
  </si>
  <si>
    <t>FTX122091UF</t>
  </si>
  <si>
    <t>APc471.fe8f.eb2c_B138</t>
  </si>
  <si>
    <t>10.0.0.127</t>
  </si>
  <si>
    <t>FTX1446E2F8</t>
  </si>
  <si>
    <t>AP001f.cabd.bee2_awing_2nd_flr</t>
  </si>
  <si>
    <t>10.0.0.125</t>
  </si>
  <si>
    <t>FTX121990XR</t>
  </si>
  <si>
    <t>AP0021.55bc.69d6_G45</t>
  </si>
  <si>
    <t>10.0.1.228</t>
  </si>
  <si>
    <t>FTX122091UD</t>
  </si>
  <si>
    <t>AP8843.e128.3ff4_Ramp</t>
  </si>
  <si>
    <t>10.0.1.227</t>
  </si>
  <si>
    <t>12.4.18.1</t>
  </si>
  <si>
    <t>FTX140490T8</t>
  </si>
  <si>
    <t>APc471.fe8f.e347_SCOURT</t>
  </si>
  <si>
    <t>10.0.0.136</t>
  </si>
  <si>
    <t>FTX1446E2F9</t>
  </si>
  <si>
    <t>Heritage Hall</t>
  </si>
  <si>
    <t>Awing 2nd Floor</t>
  </si>
  <si>
    <t>G45</t>
  </si>
  <si>
    <t>Top of Ramp</t>
  </si>
  <si>
    <t>South Court</t>
  </si>
  <si>
    <t>AP0021.55bc.69d8_B127</t>
  </si>
  <si>
    <t>10.0.0.26</t>
  </si>
  <si>
    <t>FTX122091UC</t>
  </si>
  <si>
    <t>APc471.fe8f.e9f1_stcentral</t>
  </si>
  <si>
    <t>10.0.0.27</t>
  </si>
  <si>
    <t>FTX1446S1J0</t>
  </si>
  <si>
    <t>AP7081.054b.c08d_SIM</t>
  </si>
  <si>
    <t>10.0.0.10</t>
  </si>
  <si>
    <t>12.4.23.1</t>
  </si>
  <si>
    <t>FTX1533K8KW</t>
  </si>
  <si>
    <t>APc471.fe8f.eba9_r275</t>
  </si>
  <si>
    <t>10.0.0.129</t>
  </si>
  <si>
    <t>FTX1446E2F7</t>
  </si>
  <si>
    <t>AP001d.a1cd.2658_trades</t>
  </si>
  <si>
    <t>10.0.0.124</t>
  </si>
  <si>
    <t>12.3.7.1</t>
  </si>
  <si>
    <t>AIR-LAP1242AG-A-K9</t>
  </si>
  <si>
    <t>FTX1142B29S</t>
  </si>
  <si>
    <t>AP0021.55bc.69c2_hh_west</t>
  </si>
  <si>
    <t>10.0.1.224</t>
  </si>
  <si>
    <t>FTX122091UE</t>
  </si>
  <si>
    <t>AP1cdf.0f94.b1b1_cafe</t>
  </si>
  <si>
    <t>10.0.0.132</t>
  </si>
  <si>
    <t>FTX1446S1HT</t>
  </si>
  <si>
    <t>APe05f.b93e.4ff4_B102</t>
  </si>
  <si>
    <t>10.0.1.230</t>
  </si>
  <si>
    <t>FGL1450Z02V</t>
  </si>
  <si>
    <t>AP0021.a040.1854_RedCloset</t>
  </si>
  <si>
    <t>10.0.0.134</t>
  </si>
  <si>
    <t>FTX124990SB</t>
  </si>
  <si>
    <t>AP1cdf.0f2f.3d28_Admin</t>
  </si>
  <si>
    <t>10.0.0.135</t>
  </si>
  <si>
    <t>FTX143990PX</t>
  </si>
  <si>
    <t>Student Central</t>
  </si>
  <si>
    <t>SIM Hospital</t>
  </si>
  <si>
    <t>R275</t>
  </si>
  <si>
    <t>trades</t>
  </si>
  <si>
    <t>Café</t>
  </si>
  <si>
    <t>Administration</t>
  </si>
  <si>
    <t>??</t>
  </si>
  <si>
    <t>AIR-LOC2710-L-K9</t>
  </si>
  <si>
    <t>QCN21420015</t>
  </si>
  <si>
    <t>Software Licensing</t>
  </si>
  <si>
    <t>EMS</t>
  </si>
  <si>
    <t>MS Campus Agreement VLC</t>
  </si>
  <si>
    <t>Hardware Support/Smartnet Costs - Annual</t>
  </si>
  <si>
    <t>Ironport S370 Web Appliance</t>
  </si>
  <si>
    <t>Computer Classroom Replacement Schedule Version 14</t>
  </si>
  <si>
    <t>A203 - Classroom / Lab (Chemistry)</t>
  </si>
  <si>
    <t>A205 - Classroom / Lab (Micro Biology)</t>
  </si>
  <si>
    <t>A211 - Classroom / Lab (Biology)</t>
  </si>
  <si>
    <t>A213 - Classroom / Lab (Physical Therapy)</t>
  </si>
  <si>
    <t>B103 - Classroom (Interior Design)</t>
  </si>
  <si>
    <t>B108 - Classroom (Interior Design)</t>
  </si>
  <si>
    <t>B124 - Computer Lab</t>
  </si>
  <si>
    <t>B125 - Computer Lab</t>
  </si>
  <si>
    <t>B126 - Computer Lab</t>
  </si>
  <si>
    <t>B127 - Computer Lab</t>
  </si>
  <si>
    <t>B128 - Computer Lab</t>
  </si>
  <si>
    <t>B133 - Meeting Room (METNET)</t>
  </si>
  <si>
    <t>B134 - Computer Lab</t>
  </si>
  <si>
    <t>B135 - Classroom</t>
  </si>
  <si>
    <t>B136 - Classroom</t>
  </si>
  <si>
    <t>B137 - Classroom</t>
  </si>
  <si>
    <t>B138 - Computer Lab</t>
  </si>
  <si>
    <t>B139 - Classroom</t>
  </si>
  <si>
    <t>B141 - Classroom</t>
  </si>
  <si>
    <t>B147- (Sustainable Energy) - Autobody</t>
  </si>
  <si>
    <t>B200 - Classroom (EMS)</t>
  </si>
  <si>
    <t>B201 - Classroom (EMS)</t>
  </si>
  <si>
    <t>B202 - Lab (EMS)</t>
  </si>
  <si>
    <t>G117 - Classroom</t>
  </si>
  <si>
    <t>G121 - Computer Room</t>
  </si>
  <si>
    <t>G122 - Outreach Classroom</t>
  </si>
  <si>
    <t>G45 - Conference / Classroom</t>
  </si>
  <si>
    <t>G46 - Conference / Classroom</t>
  </si>
  <si>
    <t>R164 - Lab (Dental)</t>
  </si>
  <si>
    <t>R165 - Lab (Radiology)</t>
  </si>
  <si>
    <t>R166 - Lab (Dental)</t>
  </si>
  <si>
    <t>R167 - Classroom (Dental)</t>
  </si>
  <si>
    <t>R168 - Classroom (Radiology)</t>
  </si>
  <si>
    <t>R172 - Classroom (Respiratory Care)</t>
  </si>
  <si>
    <t>R173 - Classroom</t>
  </si>
  <si>
    <t>R187 - Lab (Radiology)</t>
  </si>
  <si>
    <t xml:space="preserve">R222 - Lab (Medical Assisting) </t>
  </si>
  <si>
    <t xml:space="preserve">R226 - Lab (Health Science Computer) </t>
  </si>
  <si>
    <t xml:space="preserve">R252 - Classroom (Nursing) </t>
  </si>
  <si>
    <t>R253 - Lab (Nursing)</t>
  </si>
  <si>
    <t>R276 - Classroom</t>
  </si>
  <si>
    <t>R277 - Classroom</t>
  </si>
  <si>
    <t>R278 - Classroom (Northern)</t>
  </si>
  <si>
    <t>R280 - Classroom</t>
  </si>
  <si>
    <t>R281 - Classroom</t>
  </si>
  <si>
    <t>Simulated Hospital - Classroom</t>
  </si>
  <si>
    <t>Simulated Hospital - Dental Chair</t>
  </si>
  <si>
    <t>Simulated Hospital - Emergency Room</t>
  </si>
  <si>
    <t>Simulated Hospital - Home Health</t>
  </si>
  <si>
    <t>Simulated Hospital - Intensive Care Unit</t>
  </si>
  <si>
    <t>Simulated Hospital - Operating Room</t>
  </si>
  <si>
    <t>Simulated Hospital - Radiology</t>
  </si>
  <si>
    <t>Simulated Hospital - Semi-Private Room</t>
  </si>
  <si>
    <t>Simulated Hospital - Staging Area/Ambulance</t>
  </si>
  <si>
    <t>T304 - Classroom (Trades)</t>
  </si>
  <si>
    <t>T314 - Classroom / Carpentry (Trades)</t>
  </si>
  <si>
    <t>T315 - Classroom / Welding (Trades)</t>
  </si>
  <si>
    <t>T316 - Classroom (SET, 3rd Bay)</t>
  </si>
  <si>
    <t>Learning Center</t>
  </si>
  <si>
    <t xml:space="preserve"> </t>
  </si>
  <si>
    <t>R274 Testing Center</t>
  </si>
  <si>
    <t>Total</t>
  </si>
  <si>
    <t>B101 Tiered Large Classroom</t>
  </si>
  <si>
    <t>Distance</t>
  </si>
  <si>
    <t>Current Pricing</t>
  </si>
  <si>
    <t>Basic</t>
  </si>
  <si>
    <t>Performance</t>
  </si>
  <si>
    <t>Power</t>
  </si>
  <si>
    <t>Pricing</t>
  </si>
  <si>
    <t>Server</t>
  </si>
  <si>
    <t>Mem GB</t>
  </si>
  <si>
    <t>Processor</t>
  </si>
  <si>
    <t>Operating System</t>
  </si>
  <si>
    <t>Services</t>
  </si>
  <si>
    <t>Srvc Tag#</t>
  </si>
  <si>
    <t>Warranty Exp. Date</t>
  </si>
  <si>
    <t>Apollo</t>
  </si>
  <si>
    <t>PE850</t>
  </si>
  <si>
    <t>Pentium D 3 GHz</t>
  </si>
  <si>
    <t>W2K8 STD SP2 x32</t>
  </si>
  <si>
    <t>Autodesk</t>
  </si>
  <si>
    <t>207.196.130.9</t>
  </si>
  <si>
    <t>HJZ0T91</t>
  </si>
  <si>
    <t>Athena</t>
  </si>
  <si>
    <t>Pentium D 3GHz</t>
  </si>
  <si>
    <t>W2K3 ENT SP2</t>
  </si>
  <si>
    <t>DC for Sophists2 Domain (Pearson testing)</t>
  </si>
  <si>
    <t>207.196.150.9</t>
  </si>
  <si>
    <t>JJZ0T91</t>
  </si>
  <si>
    <t>Aura2</t>
  </si>
  <si>
    <t>PE2950</t>
  </si>
  <si>
    <t>Xeon 3 GHz</t>
  </si>
  <si>
    <t>W2K8R2STD x64</t>
  </si>
  <si>
    <t>Connect Server</t>
  </si>
  <si>
    <t>207.196.130.213</t>
  </si>
  <si>
    <t>3K0GZB1</t>
  </si>
  <si>
    <t>Batman</t>
  </si>
  <si>
    <t>PE R410</t>
  </si>
  <si>
    <t>Xeon E5520@2.27 GHz(2x)</t>
  </si>
  <si>
    <t>W2K8 R2 Data Center x64</t>
  </si>
  <si>
    <t>Wisetrack, Backup DC for MSUGF2, TS Licensing</t>
  </si>
  <si>
    <t>207.196.130.233</t>
  </si>
  <si>
    <t>JB51NL1</t>
  </si>
  <si>
    <t>Electra</t>
  </si>
  <si>
    <t>PER515</t>
  </si>
  <si>
    <t>AMD Opteron 4162 EE 1.7 GHZ (2x)</t>
  </si>
  <si>
    <t>W2K8 STD R2 x64</t>
  </si>
  <si>
    <t>gf.local Domain Controller, NTP Server</t>
  </si>
  <si>
    <t>207.196.130.221</t>
  </si>
  <si>
    <t>2GDP5P1</t>
  </si>
  <si>
    <t>Europa</t>
  </si>
  <si>
    <t>PE1850</t>
  </si>
  <si>
    <t>Xeon 2.8 GHz</t>
  </si>
  <si>
    <t>W2K3 Ent SP2 x32</t>
  </si>
  <si>
    <t>Patterson</t>
  </si>
  <si>
    <t>10.1.50.10</t>
  </si>
  <si>
    <t>7TN8Z71</t>
  </si>
  <si>
    <t>Firestorm</t>
  </si>
  <si>
    <t>PER710</t>
  </si>
  <si>
    <t>Xeon x5677@3.47Ghz (2x)</t>
  </si>
  <si>
    <t>W2K8 R2 STD SP1</t>
  </si>
  <si>
    <t>E2E exchange migragtion ,(Wowza) Media Srvr</t>
  </si>
  <si>
    <t>207.196.131.17</t>
  </si>
  <si>
    <t>11K6HQ1</t>
  </si>
  <si>
    <t>Galaxy2</t>
  </si>
  <si>
    <t>PE1750</t>
  </si>
  <si>
    <t>Xeon 2.4 GHz</t>
  </si>
  <si>
    <t>W2K3STDSP2 x32</t>
  </si>
  <si>
    <t>MSUGF Web Server</t>
  </si>
  <si>
    <t>207.196.130.246</t>
  </si>
  <si>
    <t>2TN1D61</t>
  </si>
  <si>
    <t>Hulk</t>
  </si>
  <si>
    <t>PER410</t>
  </si>
  <si>
    <t>Xeon E5520@2.27 GHz</t>
  </si>
  <si>
    <t>W2K8 STD SP2</t>
  </si>
  <si>
    <t>Sharepoint</t>
  </si>
  <si>
    <t>207.196.130.13</t>
  </si>
  <si>
    <t>4L49LK1</t>
  </si>
  <si>
    <t>IO</t>
  </si>
  <si>
    <t>PER210</t>
  </si>
  <si>
    <t>Xeon X3430 2.4 GHz</t>
  </si>
  <si>
    <t>W2K8R2STDSP1 x64</t>
  </si>
  <si>
    <t>Bookstore SQL, Nova Backup</t>
  </si>
  <si>
    <t>207.196.150.17</t>
  </si>
  <si>
    <t>8S06041</t>
  </si>
  <si>
    <t>Ironman</t>
  </si>
  <si>
    <t>PER610</t>
  </si>
  <si>
    <t>New Web Server,ADAM Licensing</t>
  </si>
  <si>
    <t>207.196.130.250</t>
  </si>
  <si>
    <t>F4517K1</t>
  </si>
  <si>
    <t>Ironport</t>
  </si>
  <si>
    <t>Email Spam Filter</t>
  </si>
  <si>
    <t>207.196.130.236</t>
  </si>
  <si>
    <t>Jupiter</t>
  </si>
  <si>
    <t>PER200</t>
  </si>
  <si>
    <t>Xeon E3110 3.0 GHz</t>
  </si>
  <si>
    <t>W2K8 STD SP2 x64</t>
  </si>
  <si>
    <t>DC &amp; DNS for MSUGF</t>
  </si>
  <si>
    <t>207.196.130.1</t>
  </si>
  <si>
    <t>3WKZSH1</t>
  </si>
  <si>
    <t>Leda</t>
  </si>
  <si>
    <t>PE2850</t>
  </si>
  <si>
    <t>File Server</t>
  </si>
  <si>
    <t>207.196.130.14</t>
  </si>
  <si>
    <t>7YZ8Z81</t>
  </si>
  <si>
    <t>Listserv</t>
  </si>
  <si>
    <t>W2K3R2STDSP2 x32</t>
  </si>
  <si>
    <t>Listserv Server</t>
  </si>
  <si>
    <t>207.196.130.248</t>
  </si>
  <si>
    <t>D4LPZ41</t>
  </si>
  <si>
    <t>Loki</t>
  </si>
  <si>
    <t>SQL 08, Faronics</t>
  </si>
  <si>
    <t>207.196.130.6</t>
  </si>
  <si>
    <t>5L49LK1</t>
  </si>
  <si>
    <t>Magneto</t>
  </si>
  <si>
    <t>W2K8STDSP1 x32</t>
  </si>
  <si>
    <t>ArcServ Backup Server</t>
  </si>
  <si>
    <t>207.196.130.23</t>
  </si>
  <si>
    <t>Mars</t>
  </si>
  <si>
    <t>W2K8R2STD (64)</t>
  </si>
  <si>
    <t>Prim DC &amp; DNS for MSUGF2,Helpdesk</t>
  </si>
  <si>
    <t>207.196.130.230</t>
  </si>
  <si>
    <t>1WKZSH1</t>
  </si>
  <si>
    <t>Matrix</t>
  </si>
  <si>
    <t>Xeon E5404 @ 2GHz</t>
  </si>
  <si>
    <t>W2K8R2STDSP1 (64)</t>
  </si>
  <si>
    <t>Backup DC for MSUGF2, student folders, Wallpaper</t>
  </si>
  <si>
    <t>207.196.130.77</t>
  </si>
  <si>
    <t>HRGZSH1</t>
  </si>
  <si>
    <t>Mercury2</t>
  </si>
  <si>
    <t>PE2550</t>
  </si>
  <si>
    <t>PIII 930 MHz</t>
  </si>
  <si>
    <t>VPN Server</t>
  </si>
  <si>
    <t>207.196.130.2</t>
  </si>
  <si>
    <t>D98SW01</t>
  </si>
  <si>
    <t>Nighthawk</t>
  </si>
  <si>
    <t>Virtual</t>
  </si>
  <si>
    <t>W2K8</t>
  </si>
  <si>
    <t>Bit Defender, KVM (Voyager died)</t>
  </si>
  <si>
    <t>Nova</t>
  </si>
  <si>
    <t>Xeon E5335 @ 2GHz</t>
  </si>
  <si>
    <t>W2K8STDSP2 x64</t>
  </si>
  <si>
    <t>Blackberry Enterprise Server, Compass</t>
  </si>
  <si>
    <t>207.196.130.8</t>
  </si>
  <si>
    <t>3RK5WD1</t>
  </si>
  <si>
    <t>Oberon</t>
  </si>
  <si>
    <t>W2K8STDSP2 x32</t>
  </si>
  <si>
    <t>TutorTrac Server</t>
  </si>
  <si>
    <t>207.196.150.159</t>
  </si>
  <si>
    <t>DJZ0T91</t>
  </si>
  <si>
    <t>Orion</t>
  </si>
  <si>
    <t>PESC1435</t>
  </si>
  <si>
    <t>AMD Opteron 2212 2.0 GHz x32</t>
  </si>
  <si>
    <t>W2K8 STD SP2 (64)</t>
  </si>
  <si>
    <t>Security Camera Server,(10.1.200.249)</t>
  </si>
  <si>
    <t>207.196.128.38</t>
  </si>
  <si>
    <t>224W0G1</t>
  </si>
  <si>
    <t>Pandora</t>
  </si>
  <si>
    <t>Tableau Server</t>
  </si>
  <si>
    <t>207.196.130.216</t>
  </si>
  <si>
    <t>44V8WL1</t>
  </si>
  <si>
    <t>Pluto</t>
  </si>
  <si>
    <t>PE1600SC</t>
  </si>
  <si>
    <t>W2K3 Ent SP2</t>
  </si>
  <si>
    <t>Banner Forms</t>
  </si>
  <si>
    <t>207.196.130.228</t>
  </si>
  <si>
    <t>JQDJN21</t>
  </si>
  <si>
    <t>PrometricSrvr</t>
  </si>
  <si>
    <t xml:space="preserve">W2K8STDSP2 </t>
  </si>
  <si>
    <t>DC for Protest Domain (Prometric Testing)</t>
  </si>
  <si>
    <t>207.196.130.249</t>
  </si>
  <si>
    <t>Robin</t>
  </si>
  <si>
    <t>Xeon E5520 2.27 GHz (2x)</t>
  </si>
  <si>
    <t>Virtual Server (On Time)</t>
  </si>
  <si>
    <t>207.196.130.240</t>
  </si>
  <si>
    <t>6D4XHM1</t>
  </si>
  <si>
    <t>Sedna</t>
  </si>
  <si>
    <t>Dental Assisting Software (Patterson)</t>
  </si>
  <si>
    <t>207.196.151.22</t>
  </si>
  <si>
    <t>HVGTT21</t>
  </si>
  <si>
    <t>Spike</t>
  </si>
  <si>
    <t>PE R610</t>
  </si>
  <si>
    <t>Security Information &amp; Event Mgr (TriGeo)</t>
  </si>
  <si>
    <t>207.196.130.251</t>
  </si>
  <si>
    <t>19696L1</t>
  </si>
  <si>
    <t>Storm</t>
  </si>
  <si>
    <t>PE 515</t>
  </si>
  <si>
    <t>AMD Opteron 4162EE 1.7GHz (2x)</t>
  </si>
  <si>
    <t>W2K8 R2 STD</t>
  </si>
  <si>
    <t>Exchange 2010</t>
  </si>
  <si>
    <t>207.196.130.215</t>
  </si>
  <si>
    <t>1GDP5P1</t>
  </si>
  <si>
    <t>Superman</t>
  </si>
  <si>
    <t>Print Server</t>
  </si>
  <si>
    <t>207.196.130.11</t>
  </si>
  <si>
    <t>57F9Z71</t>
  </si>
  <si>
    <t>Thor</t>
  </si>
  <si>
    <t>Xeon E5430@2.66 GHz(2x)</t>
  </si>
  <si>
    <t>Exch 2007 Server</t>
  </si>
  <si>
    <t>207.196.130.229</t>
  </si>
  <si>
    <t>GWD1NK1</t>
  </si>
  <si>
    <t>Venus</t>
  </si>
  <si>
    <t>PE2650</t>
  </si>
  <si>
    <t>Xeon 2 GHz</t>
  </si>
  <si>
    <t>Programs/Infotech</t>
  </si>
  <si>
    <t>207.196.130.12</t>
  </si>
  <si>
    <t>HS4XC21</t>
  </si>
  <si>
    <t>Wolverine</t>
  </si>
  <si>
    <t>Event Management System Server</t>
  </si>
  <si>
    <t>207.196.130.220</t>
  </si>
  <si>
    <t>J3TSQL1</t>
  </si>
  <si>
    <t>Area51</t>
  </si>
  <si>
    <t>207.196.151.17</t>
  </si>
  <si>
    <t>FSNK941</t>
  </si>
  <si>
    <t>Cronus</t>
  </si>
  <si>
    <t>PE2300</t>
  </si>
  <si>
    <t>512MB</t>
  </si>
  <si>
    <t>PIII 447 MHz</t>
  </si>
  <si>
    <t>On Time Client Enterprise VIRTUALIZED</t>
  </si>
  <si>
    <t>207.196.150.236</t>
  </si>
  <si>
    <t>40A87</t>
  </si>
  <si>
    <t>Moon</t>
  </si>
  <si>
    <t>Print Server,ArcServ (Backup) License Manager</t>
  </si>
  <si>
    <t>207.196.130.231</t>
  </si>
  <si>
    <t>6SN1D61</t>
  </si>
  <si>
    <t>Plato</t>
  </si>
  <si>
    <t>PE400SC</t>
  </si>
  <si>
    <t>P4 2.26 GHz</t>
  </si>
  <si>
    <t>W2K3 STD SP2</t>
  </si>
  <si>
    <t>DC for Prometric</t>
  </si>
  <si>
    <t>9HWNT31</t>
  </si>
  <si>
    <t>Tonopah</t>
  </si>
  <si>
    <t>Student Web folder content</t>
  </si>
  <si>
    <t>207.196.151.18</t>
  </si>
  <si>
    <t>8NS1D61</t>
  </si>
  <si>
    <t>Voyager</t>
  </si>
  <si>
    <t>KMS Srvr For Vista, W7,MS10,</t>
  </si>
  <si>
    <t>207.196.130.223</t>
  </si>
  <si>
    <t>7JZ0T91</t>
  </si>
  <si>
    <t>Zeus</t>
  </si>
  <si>
    <t>Wireless Control Server, Access Point Controller</t>
  </si>
  <si>
    <t>207.196.130.57</t>
  </si>
  <si>
    <t>2SN1D61</t>
  </si>
  <si>
    <t>D &amp; H Distributing</t>
  </si>
  <si>
    <t>LICENSE QUOTATION</t>
  </si>
  <si>
    <t>Quotation prepared by Beth Davis</t>
  </si>
  <si>
    <t>800-340-1001 Opt 2</t>
  </si>
  <si>
    <t>DATE:</t>
  </si>
  <si>
    <t>Institution Name:</t>
  </si>
  <si>
    <t>Montana State University Great Falls College of Technology</t>
  </si>
  <si>
    <t>ACCT. #:</t>
  </si>
  <si>
    <t>Agreement Number:</t>
  </si>
  <si>
    <t>01C33343</t>
  </si>
  <si>
    <t xml:space="preserve">ACCT. NAME: </t>
  </si>
  <si>
    <t>Montana State University Billings</t>
  </si>
  <si>
    <t>Enrollment Number:</t>
  </si>
  <si>
    <t>CONTACT:</t>
  </si>
  <si>
    <t>Chad Schreier</t>
  </si>
  <si>
    <t>Renewal Date:</t>
  </si>
  <si>
    <t>CONTACT EMAIL:</t>
  </si>
  <si>
    <t>chad.schreier@msubillings.edu</t>
  </si>
  <si>
    <t>One / Three Year:</t>
  </si>
  <si>
    <t>New Three Year</t>
  </si>
  <si>
    <t>VALID THRU:</t>
  </si>
  <si>
    <t>PLEASE SPECIFY 1 OR 3 YEAR AGREEMENT WHEN PLACING YOUR ORDER</t>
  </si>
  <si>
    <t>Microsoft Open Value Subscription - Education Solutions (OVS-ES)</t>
  </si>
  <si>
    <t>QUANTITY</t>
  </si>
  <si>
    <t>Part Number</t>
  </si>
  <si>
    <t>PRODUCT</t>
  </si>
  <si>
    <t>PRICE (EA.)</t>
  </si>
  <si>
    <t>EXT PRICE</t>
  </si>
  <si>
    <t>MSRP</t>
  </si>
  <si>
    <t>2UJ-00007</t>
  </si>
  <si>
    <t>DsktpEdu ALNG LicSAPk OPEN VALUE SUBSCRIPTION E 1Y Acdmc Ent EntCAL</t>
  </si>
  <si>
    <t>6VC-01516</t>
  </si>
  <si>
    <t>WinRmtDsktpSrvcsCAL ALNG LicSAPk OPEN VALUE SUBSCRIPTION E 1Y Acdmc Ent DvcCAL</t>
  </si>
  <si>
    <t>H30-03429</t>
  </si>
  <si>
    <t>PrjctPro ALNG LicSAPk OPEN VALUE SUBSCRIPTION E 1Y Acdmc Ent w1PrjctSvrCAL</t>
  </si>
  <si>
    <t>359-05414</t>
  </si>
  <si>
    <t>SQLCAL ALNG LicSAPk OPEN VALUE SUBSCRIPTION E 1Y Acdmc Ent DvcCAL</t>
  </si>
  <si>
    <t>D87-06007</t>
  </si>
  <si>
    <t>VisioPro ALNG LicSAPk OPEN VALUE SUBSCRIPTION E 1Y Acdmc Ent</t>
  </si>
  <si>
    <t>Available 02/01/13</t>
  </si>
  <si>
    <t>54R-00141</t>
  </si>
  <si>
    <t>CS-MSITAcademy ALNG SubsVL OPEN VALUE SUBSCRIPTION E 1Mth Acdmc AP Srvcs</t>
  </si>
  <si>
    <t>H5T-00001</t>
  </si>
  <si>
    <t>CrtfctnAcdmcVL Fee OPEN VALUE SUBSCRIPTION E Each Acdmc AP MCPCertPk(30 Exams)</t>
  </si>
  <si>
    <t>H5T-00004</t>
  </si>
  <si>
    <t>CrtfctnAcdmcVL Fee OPEN VALUE SUBSCRIPTION E Each Acdmc AP MOSCertSitePack(500 Exams)</t>
  </si>
  <si>
    <t>TOTAL</t>
  </si>
  <si>
    <t>Estimated Close:</t>
  </si>
  <si>
    <t>***Prices and Availability Subject to Change Without Notice.***</t>
  </si>
  <si>
    <t xml:space="preserve">***Pricing for Agreement is set by Microsoft as the Renewal Date for the Agreement.  D&amp;H can not be held responsible for price changes made by Microsoft in between date of quote and Renewal Date of the Agreement.  Orders submitted earlier than renewal date will be charged whatever price is in effect at renewal date and D&amp;H will not be accountable for any price increases that may occur.***  </t>
  </si>
  <si>
    <t>Additional Information:</t>
  </si>
  <si>
    <t>I'm a Microsoft Sales Specialist. Click on my badge below to find out how you can become one too!</t>
  </si>
  <si>
    <t>Coster Per FTE Base Computer</t>
  </si>
  <si>
    <t>Total Cost Per 172 FTE Annual</t>
  </si>
  <si>
    <t>Actual Cost Per Computer Chargeback (Of the 125 charge out of 600 PC count)</t>
  </si>
  <si>
    <t>2100 16TH AVENUE SOUTH</t>
  </si>
  <si>
    <t>GREAT FALLS</t>
  </si>
  <si>
    <t>MT</t>
  </si>
  <si>
    <t>59405</t>
  </si>
  <si>
    <t>WS-C4503</t>
  </si>
  <si>
    <t>FOX103706WG</t>
  </si>
  <si>
    <t>SMARTnet 8X5XNBD</t>
  </si>
  <si>
    <t xml:space="preserve"> 02-JUN-2013</t>
  </si>
  <si>
    <t xml:space="preserve"> 23-JUN-2014</t>
  </si>
  <si>
    <t>FOX103706W5</t>
  </si>
  <si>
    <t>DMM-BASE-52-K9</t>
  </si>
  <si>
    <t>Software - no serial</t>
  </si>
  <si>
    <t>SMARTnet Softwre App Supp</t>
  </si>
  <si>
    <t xml:space="preserve"> 15-AUG-2012</t>
  </si>
  <si>
    <t>DMM-DVM52-K9</t>
  </si>
  <si>
    <t>DVAUTHOR-FL-10</t>
  </si>
  <si>
    <t>DVR52-K9</t>
  </si>
  <si>
    <t>SNS-WKGP-52-K9</t>
  </si>
  <si>
    <t>DMM-SVR-C210-K9</t>
  </si>
  <si>
    <t>QCI1517A06F</t>
  </si>
  <si>
    <t>DMS-DME-2200</t>
  </si>
  <si>
    <t>CP11010017</t>
  </si>
  <si>
    <t>SNS-SVR-C200WG-K9</t>
  </si>
  <si>
    <t>QCI1519A7RE</t>
  </si>
  <si>
    <t xml:space="preserve"> 24-JUN-2013</t>
  </si>
  <si>
    <t>FTX133090JE</t>
  </si>
  <si>
    <t>FTX133190U0</t>
  </si>
  <si>
    <t>FTX133190U1</t>
  </si>
  <si>
    <t>FTX133190TU</t>
  </si>
  <si>
    <t>CISCO2821</t>
  </si>
  <si>
    <t>ASA5520-BUN-K9</t>
  </si>
  <si>
    <t xml:space="preserve">INSTALL SITE ADDRESS </t>
  </si>
  <si>
    <t>CITY</t>
  </si>
  <si>
    <t>STATE</t>
  </si>
  <si>
    <t>ZIP</t>
  </si>
  <si>
    <t>PART NUMBER</t>
  </si>
  <si>
    <t>SERIAL NUMBER</t>
  </si>
  <si>
    <t>SUPPORT</t>
  </si>
  <si>
    <t>START DATE</t>
  </si>
  <si>
    <t>END DATE</t>
  </si>
  <si>
    <t>NET PRICE</t>
  </si>
  <si>
    <t>Current Century Link Smartnet Listing</t>
  </si>
  <si>
    <t>SMARTNET 8X5XNBD Nexus 5548 UP Chassis, 32 10GbE Ports</t>
  </si>
  <si>
    <t>CON-SNT-C5548UP</t>
  </si>
  <si>
    <t>Index:</t>
  </si>
  <si>
    <t>Description:</t>
  </si>
  <si>
    <t>Vendor:</t>
  </si>
  <si>
    <t>Count:</t>
  </si>
  <si>
    <t>Users:</t>
  </si>
  <si>
    <t>Duration:</t>
  </si>
  <si>
    <t>Paid:</t>
  </si>
  <si>
    <t>Date Purchased:</t>
  </si>
  <si>
    <t>Next Due Date:</t>
  </si>
  <si>
    <t>Maintance and Service for Adobe</t>
  </si>
  <si>
    <t>Journey Ed</t>
  </si>
  <si>
    <t xml:space="preserve">1 connect general 
5 presenter </t>
  </si>
  <si>
    <t>2 years</t>
  </si>
  <si>
    <t>Netscan tools maintenance renewal</t>
  </si>
  <si>
    <t>Plimus</t>
  </si>
  <si>
    <t>Maintenance for ArcServe renewal</t>
  </si>
  <si>
    <t>Compusa</t>
  </si>
  <si>
    <t>3 years</t>
  </si>
  <si>
    <t>335100</t>
  </si>
  <si>
    <t>Domain Security Certificate</t>
  </si>
  <si>
    <t>GoDaddy.com</t>
  </si>
  <si>
    <t>Turnitin License Maintenance</t>
  </si>
  <si>
    <t>Turnitin</t>
  </si>
  <si>
    <t>12/15/10</t>
  </si>
  <si>
    <t>12/15/2013</t>
  </si>
  <si>
    <t>Deep freeze Ent</t>
  </si>
  <si>
    <t>Faronics</t>
  </si>
  <si>
    <t>10/4/10</t>
  </si>
  <si>
    <t>10/2013</t>
  </si>
  <si>
    <t>Power Save</t>
  </si>
  <si>
    <t>1 year</t>
  </si>
  <si>
    <t>09/2011</t>
  </si>
  <si>
    <t>Warranty renewal</t>
  </si>
  <si>
    <t>Spectra</t>
  </si>
  <si>
    <t>Oracle Academy</t>
  </si>
  <si>
    <t>Listserv maintenance</t>
  </si>
  <si>
    <t>L-Soft</t>
  </si>
  <si>
    <t>1/2012</t>
  </si>
  <si>
    <t>SCUPdates Subscription</t>
  </si>
  <si>
    <t>Shavlik Technologies</t>
  </si>
  <si>
    <t>Maintenance and Support</t>
  </si>
  <si>
    <t>Video Insight, Inc</t>
  </si>
  <si>
    <t>12/2011</t>
  </si>
  <si>
    <t>Support &amp; Software upgrades</t>
  </si>
  <si>
    <t>TriGeo</t>
  </si>
  <si>
    <t>IT Solutions Subscription</t>
  </si>
  <si>
    <t>Experts Exchange</t>
  </si>
  <si>
    <t>08/2011</t>
  </si>
  <si>
    <t>Yearly maintenance for help desk</t>
  </si>
  <si>
    <t>Mac Design Studio</t>
  </si>
  <si>
    <t>07/2011</t>
  </si>
  <si>
    <t>Lippincott Nursing Practice Manual License</t>
  </si>
  <si>
    <t>OVID Technologies</t>
  </si>
  <si>
    <t>Tableau Software</t>
  </si>
  <si>
    <t>4 users, 1 server</t>
  </si>
  <si>
    <t>12/16/10</t>
  </si>
  <si>
    <t>Domain License</t>
  </si>
  <si>
    <t>Educause</t>
  </si>
  <si>
    <t>07/1/10</t>
  </si>
  <si>
    <t>John Cerek, Ken Wardinsky</t>
  </si>
  <si>
    <t>10/21/10</t>
  </si>
  <si>
    <t>10/2011</t>
  </si>
  <si>
    <t>2/25/14</t>
  </si>
  <si>
    <t>Discontinued</t>
  </si>
  <si>
    <t>Now 4 Campus Cost Shared</t>
  </si>
  <si>
    <t>s</t>
  </si>
  <si>
    <t>License</t>
  </si>
  <si>
    <t>DRI* Wowza Media</t>
  </si>
  <si>
    <t>perpetual</t>
  </si>
  <si>
    <t>6/2/11</t>
  </si>
  <si>
    <t>none</t>
  </si>
  <si>
    <t>Dave Bonilla</t>
  </si>
  <si>
    <t>Adobe Connect</t>
  </si>
  <si>
    <t>Arcserve Backup</t>
  </si>
  <si>
    <t>Domain Wildcard Certificate</t>
  </si>
  <si>
    <t>Deep Freeze Enterprise</t>
  </si>
  <si>
    <t>APC Symmetra (UPS)</t>
  </si>
  <si>
    <t>Tape Backup Warranty renewal</t>
  </si>
  <si>
    <t>Yearly Estimated Summary</t>
  </si>
  <si>
    <t>Video/Camera System maint</t>
  </si>
  <si>
    <t>TRIGEO Support &amp; Software upgrades</t>
  </si>
  <si>
    <t>Subscription Experts Exchange</t>
  </si>
  <si>
    <t>11/14/13</t>
  </si>
  <si>
    <t>Educause domain name (gfcmsu.edu)</t>
  </si>
  <si>
    <t>Autocad Licensing (site)</t>
  </si>
  <si>
    <t>Reduced number of active licenses</t>
  </si>
  <si>
    <t>Billing Bookstore (jackets)</t>
  </si>
  <si>
    <t>MSUNET CAMPUS AND AGENCY COST SHARING</t>
  </si>
  <si>
    <t>COST CATEGORY</t>
  </si>
  <si>
    <t>CAMPUS COST DISTRIBUTION</t>
  </si>
  <si>
    <t>Billing Schedule</t>
  </si>
  <si>
    <t>MSU-BOZEMAN INSTITUTIONAL COST DISTRIBUTION</t>
  </si>
  <si>
    <t>Source Document</t>
  </si>
  <si>
    <t>Cost Source</t>
  </si>
  <si>
    <t>MSU-Billings</t>
  </si>
  <si>
    <t>MSU-Great Falls</t>
  </si>
  <si>
    <t>MSU-Northern</t>
  </si>
  <si>
    <t>MSU-Bozeman</t>
  </si>
  <si>
    <t>Totals</t>
  </si>
  <si>
    <t>/ Source</t>
  </si>
  <si>
    <t>University/ITC</t>
  </si>
  <si>
    <t>Ag Research</t>
  </si>
  <si>
    <t>Auxiliaries</t>
  </si>
  <si>
    <t>AES</t>
  </si>
  <si>
    <t>ES</t>
  </si>
  <si>
    <t>FSTS</t>
  </si>
  <si>
    <t>G&amp;C</t>
  </si>
  <si>
    <t>OLP</t>
  </si>
  <si>
    <t>SUMMITNET DIRECT BILLED TO CAMPUSES HERE FOR REFERENCE ONLY</t>
  </si>
  <si>
    <t>MSUNET_FY10_SummitNetBillingDetail.xlsx</t>
  </si>
  <si>
    <t>Monthly Costs: Local loop</t>
  </si>
  <si>
    <t>Billings billed direct</t>
  </si>
  <si>
    <t>Monthly Costs: Aggregation</t>
  </si>
  <si>
    <t>Monthly Costs: Core</t>
  </si>
  <si>
    <t>Monthly Costs: Fees</t>
  </si>
  <si>
    <t>Net Costs per month after credit</t>
  </si>
  <si>
    <t>Admin Fee - 4%</t>
  </si>
  <si>
    <t>direct billed</t>
  </si>
  <si>
    <t>Total Monthly Cost with Admin Fee</t>
  </si>
  <si>
    <t>Net Annual Costs per year OTO+Monthly*12</t>
  </si>
  <si>
    <t>INTERNET COSTS</t>
  </si>
  <si>
    <t>Commodity Rate $/Mb/mo</t>
  </si>
  <si>
    <t>PNWGP 10 Gbps I2</t>
  </si>
  <si>
    <t>All campuses share per their % of Bandwidth use for all Internet Costs</t>
  </si>
  <si>
    <t>Each campus pays pass-thru for commodity bw purchased</t>
  </si>
  <si>
    <t>Northern Tier Equip Maintenance</t>
  </si>
  <si>
    <t>Memberships - I2, Abilene</t>
  </si>
  <si>
    <t>Campuses will share research membership costs per their % of bw useage</t>
  </si>
  <si>
    <t>Internal "sales tax" everybody pays</t>
  </si>
  <si>
    <t>Total Internet Costs</t>
  </si>
  <si>
    <t>BANNER OPERATIONS</t>
  </si>
  <si>
    <t>Banner_Campus_Recharges</t>
  </si>
  <si>
    <t>Bandwidth Fees &amp; Ops</t>
  </si>
  <si>
    <t>See Source</t>
  </si>
  <si>
    <t>Campus Eqpt Debt Svc</t>
  </si>
  <si>
    <t>NA</t>
  </si>
  <si>
    <t>Central Eqpt Debt Svc</t>
  </si>
  <si>
    <t>Total Banner Debt &amp; Operations</t>
  </si>
  <si>
    <t>IT INFRASTRUCTURE FIXED-COST RENEWALS</t>
  </si>
  <si>
    <t>Dell CommVault</t>
  </si>
  <si>
    <t>October</t>
  </si>
  <si>
    <t>DLT Red Hat Enterprise Linux</t>
  </si>
  <si>
    <t>EDUCAUSE DUES</t>
  </si>
  <si>
    <t>Evisions FormFusion</t>
  </si>
  <si>
    <t>Split per MOU</t>
  </si>
  <si>
    <t>Evisions - Intellecheck (Replaces Acom)</t>
  </si>
  <si>
    <t>Oracle License &amp; Maintenance-Pd Qtrly</t>
  </si>
  <si>
    <t>Oracle True Up FY09 Maintenance (29 licenses)-Pd Qtrly</t>
  </si>
  <si>
    <t>Oracle True Up FY10 Maint (1300 lic)-Bzn given Alloc f/ all campuses</t>
  </si>
  <si>
    <t>Oracle True Up FY11 Maint (1421 lic) + Config Mgt Pkg - Bzn given Alloc. f/ all campuses</t>
  </si>
  <si>
    <t>Relyco Troy Check Printers (Info only, billed on Sales Order, 4 Yr Wrty Incl)</t>
  </si>
  <si>
    <t>4 Yr Maint. Purchased through 2/7/16-ish</t>
  </si>
  <si>
    <t>Admin Fee - 4 %</t>
  </si>
  <si>
    <t>Total IT Infrastructure Fixed-Cost Renewals</t>
  </si>
  <si>
    <t>IT INFRASTRUCTURE EQUPMENT REPLACEMENT PLAN</t>
  </si>
  <si>
    <t>ITCapPlan Multi-Campus tab</t>
  </si>
  <si>
    <t>Multi-Campus Shared Expenditures</t>
  </si>
  <si>
    <t>Total IT Infrastructure Equipment Replacement Plan</t>
  </si>
  <si>
    <t>NETWORK STAFF SUPPORT</t>
  </si>
  <si>
    <t>Security Management</t>
  </si>
  <si>
    <t>Network Management</t>
  </si>
  <si>
    <t>Network Analyst</t>
  </si>
  <si>
    <t>Network Operations</t>
  </si>
  <si>
    <t>.5 Parker</t>
  </si>
  <si>
    <t>Systems Administration</t>
  </si>
  <si>
    <t>.6 Bourque</t>
  </si>
  <si>
    <t>User Services</t>
  </si>
  <si>
    <t>.3 Rosen</t>
  </si>
  <si>
    <t>Benefits at 35%</t>
  </si>
  <si>
    <t>Total Network Staff Support</t>
  </si>
  <si>
    <t xml:space="preserve">BANNER SYSTEMS STAFF SUPPORT </t>
  </si>
  <si>
    <t>Overall Coordination</t>
  </si>
  <si>
    <t>VanAndel</t>
  </si>
  <si>
    <t>Database Administration</t>
  </si>
  <si>
    <t>GID/Security Coordination</t>
  </si>
  <si>
    <t>Banner Financial Aid/Student Systems</t>
  </si>
  <si>
    <t>Banner Finance Systems</t>
  </si>
  <si>
    <t>Lambeth+.5 Pederson+Dysart+Ahoffman</t>
  </si>
  <si>
    <t>Banner HR Systems</t>
  </si>
  <si>
    <t xml:space="preserve">Total Banner Systems Staff </t>
  </si>
  <si>
    <t>Less Credit from MSU-Bozeman</t>
  </si>
  <si>
    <t>Net Banner Systems Staff</t>
  </si>
  <si>
    <t>**SummitNet Not Included</t>
  </si>
  <si>
    <t>**Note: Items Highlighted are Paid so are Actual amounts. Unhighlighted items are not Paid or Paid Quarterly and could change.</t>
  </si>
  <si>
    <t>MSUNet_CostSharingBases_Expenditures.xls</t>
  </si>
  <si>
    <t>Total All</t>
  </si>
  <si>
    <t>Current Unrestricted (General Operating)</t>
  </si>
  <si>
    <t>Designated</t>
  </si>
  <si>
    <t>Current Restricted - Grants &amp; Contracts</t>
  </si>
  <si>
    <t>Auxiliary</t>
  </si>
  <si>
    <t>Total All Campuses</t>
  </si>
  <si>
    <t>Bozeman &amp; Billings</t>
  </si>
  <si>
    <t>-</t>
  </si>
  <si>
    <t>Bozeman &amp; Billings &amp; Havre</t>
  </si>
  <si>
    <t>Bozeman &amp; Billings &amp; Great Falls</t>
  </si>
  <si>
    <t>Bozeman &amp; Great Falls &amp; Havre</t>
  </si>
  <si>
    <t>Billings &amp; Great Falls &amp; Havre</t>
  </si>
  <si>
    <t>Great Falls &amp; Havre</t>
  </si>
  <si>
    <t>% of Total Distributions for Cost Sharing:</t>
  </si>
  <si>
    <t>All campuses</t>
  </si>
  <si>
    <t>4 Campus Cost Share (with Summitnet)</t>
  </si>
  <si>
    <t>Cost Area</t>
  </si>
  <si>
    <t>Assumption</t>
  </si>
  <si>
    <t>Based on current year assume 2.5% inflation rate</t>
  </si>
  <si>
    <t>Computer Replacement (Classrooms)</t>
  </si>
  <si>
    <t>Software Costs</t>
  </si>
  <si>
    <t>Based on current pricing</t>
  </si>
  <si>
    <t>Based on replacement plan with current pc pricing</t>
  </si>
  <si>
    <t>Cisco Netlab</t>
  </si>
  <si>
    <t>Cisco</t>
  </si>
  <si>
    <t>7/10/12</t>
  </si>
  <si>
    <t>7/10/13</t>
  </si>
  <si>
    <t>Eaglesoft Dental Software</t>
  </si>
  <si>
    <t>Eaclesoft</t>
  </si>
  <si>
    <t>Eaglesoft Dental</t>
  </si>
  <si>
    <t>Quickbooks Pro</t>
  </si>
  <si>
    <t>Intuit</t>
  </si>
  <si>
    <t>Televeal Online Dental Assessment</t>
  </si>
  <si>
    <t>Televeal</t>
  </si>
  <si>
    <t xml:space="preserve">Televeal Dental </t>
  </si>
  <si>
    <t>Adobe Captivate</t>
  </si>
  <si>
    <t>Adobe Lightroom</t>
  </si>
  <si>
    <t>Adobe</t>
  </si>
  <si>
    <t>Maintenance Sum Hardware</t>
  </si>
  <si>
    <t>Smartnet/Hardware Maintenance</t>
  </si>
  <si>
    <t>Based on Current Hardware</t>
  </si>
  <si>
    <t>Tutortrak</t>
  </si>
  <si>
    <t>NE2000 Net Equalizer Bandwidth Control</t>
  </si>
  <si>
    <t>SSL Cert for Show and Share DMM</t>
  </si>
  <si>
    <t>3 year</t>
  </si>
  <si>
    <t>8/29/11</t>
  </si>
  <si>
    <t>8/29/14</t>
  </si>
  <si>
    <t>SSL Cert for S&amp;S Dmm</t>
  </si>
  <si>
    <t>SSL Cert for S&amp;S Server</t>
  </si>
  <si>
    <t>SSL Cert for Show and Share Server</t>
  </si>
  <si>
    <t>msugfonline.org and msugf.edu SSL Certificates</t>
  </si>
  <si>
    <t>9/12/11</t>
  </si>
  <si>
    <t>9/12/14</t>
  </si>
  <si>
    <t>SSL Certs for main domain and elearning</t>
  </si>
  <si>
    <t>9/27/13</t>
  </si>
  <si>
    <t>Jaws adaptive reader</t>
  </si>
  <si>
    <t>Jaws Adaptive Screen Reader</t>
  </si>
  <si>
    <t>Freedom Scientific</t>
  </si>
  <si>
    <t>2 version</t>
  </si>
  <si>
    <t>12/9/11</t>
  </si>
  <si>
    <t>12/9/13</t>
  </si>
  <si>
    <t>BitDefender Virus Software</t>
  </si>
  <si>
    <t>Bitdefender Virus Software</t>
  </si>
  <si>
    <t>Intelek</t>
  </si>
  <si>
    <t>5/15/12</t>
  </si>
  <si>
    <t>5/15/13</t>
  </si>
  <si>
    <t>Wisetrack Inventory System</t>
  </si>
  <si>
    <t>Cloudburst Mobile</t>
  </si>
  <si>
    <t>8/30/12</t>
  </si>
  <si>
    <t>8/30/13</t>
  </si>
  <si>
    <t>APC Syummetra ups Warranty (2)</t>
  </si>
  <si>
    <t>NEXXUS Core 5548 Switches</t>
  </si>
  <si>
    <t>CISCO UCS</t>
  </si>
  <si>
    <t>CommVault</t>
  </si>
  <si>
    <t>Dell</t>
  </si>
  <si>
    <t>1 year 2 TB</t>
  </si>
  <si>
    <t>MS Campus Agreement</t>
  </si>
  <si>
    <t>Adobe Design Premium</t>
  </si>
  <si>
    <t>50C</t>
  </si>
  <si>
    <t>2 year</t>
  </si>
  <si>
    <t>Adobe Production Suite</t>
  </si>
  <si>
    <t>27C</t>
  </si>
  <si>
    <t>25C</t>
  </si>
  <si>
    <t>3/31/14</t>
  </si>
  <si>
    <t>3/31/12</t>
  </si>
  <si>
    <t>3/31/13</t>
  </si>
  <si>
    <t>Avaya CS1000 Phone System</t>
  </si>
  <si>
    <t>Dell Kace Systems</t>
  </si>
  <si>
    <t>Total (Estimated Expense)</t>
  </si>
  <si>
    <t>Furniture (Technical Classroom)</t>
  </si>
  <si>
    <t>NOTE:  Servers will be consolidated down into Virtual Servers over the 2013/14 Year  thus removing the dependence on hardware expenses.</t>
  </si>
  <si>
    <t>Ironport C160 Email Spam Filter</t>
  </si>
  <si>
    <t>Current Expected Revenue</t>
  </si>
  <si>
    <t>336400 Computer Fee</t>
  </si>
  <si>
    <t>335111 Computer Center</t>
  </si>
  <si>
    <t>335110 Chargeback</t>
  </si>
  <si>
    <t>Phone</t>
  </si>
  <si>
    <t>Shortfall (Expected - Estimated)</t>
  </si>
  <si>
    <t>Total Expected Revenues (all)</t>
  </si>
  <si>
    <t>Banner Fee</t>
  </si>
  <si>
    <t>Faculty/Staff Replacement Comp</t>
  </si>
  <si>
    <t>Based on Current Plan</t>
  </si>
  <si>
    <t>Equipment Fee</t>
  </si>
  <si>
    <t>Total Expense</t>
  </si>
  <si>
    <t>Total Chargeback per PC</t>
  </si>
  <si>
    <t>MS Windows/Office (campus SW/Total Comp)</t>
  </si>
  <si>
    <t>Virus Scan (Bitdefender)</t>
  </si>
  <si>
    <t>Network Fee (Bandwidth Aggregate)</t>
  </si>
  <si>
    <t>Difference</t>
  </si>
  <si>
    <t>Network Backup</t>
  </si>
  <si>
    <t>PC Chargeback</t>
  </si>
  <si>
    <t>Phone Chargeback</t>
  </si>
  <si>
    <t>State Telco Charges</t>
  </si>
  <si>
    <t>Current Total Item Count</t>
  </si>
  <si>
    <t>Network Maintenance Share</t>
  </si>
  <si>
    <t>Network Maintenance (Core/Server)</t>
  </si>
  <si>
    <t>EMS (Calendaring)</t>
  </si>
  <si>
    <t>Network UPS (Battery Backup Systems)</t>
  </si>
  <si>
    <t>Helpdesk Software</t>
  </si>
  <si>
    <t>Spam and Web Filters</t>
  </si>
  <si>
    <t>Total Loss/Gain Per Area</t>
  </si>
  <si>
    <t>Total Net Loss/Gain</t>
  </si>
  <si>
    <t>Printer Offset (Total Number Print Devices)</t>
  </si>
  <si>
    <t>Current Maint Charge per Printer</t>
  </si>
  <si>
    <t>Total Offset Revenue:</t>
  </si>
  <si>
    <t>Adjusted Net Loss/Gain Annual</t>
  </si>
  <si>
    <t>Annual</t>
  </si>
  <si>
    <t>Montly</t>
  </si>
  <si>
    <t>Daily (Based on approx 250 work days</t>
  </si>
  <si>
    <t>Websites and SSL Certificates (annual)</t>
  </si>
  <si>
    <t>Expected Tech Replacement Facutly Staff Machines</t>
  </si>
  <si>
    <t>8/1/210</t>
  </si>
  <si>
    <t>Bar Code</t>
  </si>
  <si>
    <t>Description</t>
  </si>
  <si>
    <t>Model Name</t>
  </si>
  <si>
    <t>Date Entered</t>
  </si>
  <si>
    <t>Location Name</t>
  </si>
  <si>
    <t>ITCharge</t>
  </si>
  <si>
    <t>Computer Name</t>
  </si>
  <si>
    <t>Custodian Full Name</t>
  </si>
  <si>
    <t>Departments</t>
  </si>
  <si>
    <t>Next Refresh Year</t>
  </si>
  <si>
    <t>Computer</t>
  </si>
  <si>
    <t>Optiplex 960</t>
  </si>
  <si>
    <t>B-125</t>
  </si>
  <si>
    <t>Brown,Jeff</t>
  </si>
  <si>
    <t>Business, Trades and Technology</t>
  </si>
  <si>
    <t>Optiplex 755</t>
  </si>
  <si>
    <t>B-102</t>
  </si>
  <si>
    <t>G-24</t>
  </si>
  <si>
    <t>Albert,Lisa</t>
  </si>
  <si>
    <t>Human Resources</t>
  </si>
  <si>
    <t>Optiplex 620</t>
  </si>
  <si>
    <t>R-274</t>
  </si>
  <si>
    <t xml:space="preserve">Learning,Online &amp; Distributed </t>
  </si>
  <si>
    <t>Online Learning Fee</t>
  </si>
  <si>
    <t>B-116</t>
  </si>
  <si>
    <t>Buckheit,Pam</t>
  </si>
  <si>
    <t>Optiplex 980</t>
  </si>
  <si>
    <t>R-263REC</t>
  </si>
  <si>
    <t>Meier,Katherine</t>
  </si>
  <si>
    <t>Disability &amp; Learning Support</t>
  </si>
  <si>
    <t>R-264</t>
  </si>
  <si>
    <t>Wright,Mandy</t>
  </si>
  <si>
    <t>Developmental Education and Transfer</t>
  </si>
  <si>
    <t>R-227</t>
  </si>
  <si>
    <t>Paulauskis,Greg</t>
  </si>
  <si>
    <t>Health Sciences</t>
  </si>
  <si>
    <t>Laptop</t>
  </si>
  <si>
    <t>Latitude 6500</t>
  </si>
  <si>
    <t>R-261</t>
  </si>
  <si>
    <t>Vostro 1710</t>
  </si>
  <si>
    <t>Adjunct Off-Campus</t>
  </si>
  <si>
    <t>Clifton,Brian</t>
  </si>
  <si>
    <t>E5500</t>
  </si>
  <si>
    <t>B-105</t>
  </si>
  <si>
    <t>Pullum,Jeri</t>
  </si>
  <si>
    <t>Grant Writing</t>
  </si>
  <si>
    <t>Apple Mac Book</t>
  </si>
  <si>
    <t>B-123</t>
  </si>
  <si>
    <t>Gottwig,Bruce</t>
  </si>
  <si>
    <t>Computer Technology</t>
  </si>
  <si>
    <t>B-132</t>
  </si>
  <si>
    <t>Pasek,Heidi</t>
  </si>
  <si>
    <t>Assoc. Dean, Instr., Assess,</t>
  </si>
  <si>
    <t>Optiplex 520</t>
  </si>
  <si>
    <t>R-272</t>
  </si>
  <si>
    <t>Center,Testing</t>
  </si>
  <si>
    <t>Testing Center</t>
  </si>
  <si>
    <t>R-270</t>
  </si>
  <si>
    <t>Optiplex 745</t>
  </si>
  <si>
    <t>G-114</t>
  </si>
  <si>
    <t>Richerson,Deborah</t>
  </si>
  <si>
    <t>Outreach-CUF</t>
  </si>
  <si>
    <t>G-102</t>
  </si>
  <si>
    <t>Parsons,Pam</t>
  </si>
  <si>
    <t>College Relations</t>
  </si>
  <si>
    <t>A-202</t>
  </si>
  <si>
    <t>Velickovska,Vanja</t>
  </si>
  <si>
    <t>Biological Science</t>
  </si>
  <si>
    <t>B-110</t>
  </si>
  <si>
    <t>Birkenbuel,Renata</t>
  </si>
  <si>
    <t>R-180</t>
  </si>
  <si>
    <t>Staples,Gail</t>
  </si>
  <si>
    <t>Dental Hygiene - Gen Fund</t>
  </si>
  <si>
    <t>G-65</t>
  </si>
  <si>
    <t>Student government President,msugfstpres</t>
  </si>
  <si>
    <t>Student Government</t>
  </si>
  <si>
    <t>C-100</t>
  </si>
  <si>
    <t>Zimmerman,Nichole</t>
  </si>
  <si>
    <t>Student Advising</t>
  </si>
  <si>
    <t>Bonahoom,Beryl</t>
  </si>
  <si>
    <t>C-100FA</t>
  </si>
  <si>
    <t>Habel,Leah</t>
  </si>
  <si>
    <t>Financial Aid Office</t>
  </si>
  <si>
    <t>C-102</t>
  </si>
  <si>
    <t>Rominger,Erica</t>
  </si>
  <si>
    <t>C-112</t>
  </si>
  <si>
    <t>C-113</t>
  </si>
  <si>
    <t>Rummel,Julie</t>
  </si>
  <si>
    <t>C-103</t>
  </si>
  <si>
    <t>Budeski,Brittney</t>
  </si>
  <si>
    <t>Optiplex 780</t>
  </si>
  <si>
    <t>C-104</t>
  </si>
  <si>
    <t>Degel,Tom</t>
  </si>
  <si>
    <t>Registrar's  Office</t>
  </si>
  <si>
    <t>C-105A</t>
  </si>
  <si>
    <t>Wagner-Fossen,Dena</t>
  </si>
  <si>
    <t>XPS - MTG</t>
  </si>
  <si>
    <t>Student Services</t>
  </si>
  <si>
    <t>R-220</t>
  </si>
  <si>
    <t>Johnsrud,Courtney</t>
  </si>
  <si>
    <t>Advising Center</t>
  </si>
  <si>
    <t>A-111</t>
  </si>
  <si>
    <t>Bryson,Kirsten</t>
  </si>
  <si>
    <t>studio 1558</t>
  </si>
  <si>
    <t>A-112</t>
  </si>
  <si>
    <t>Wight,Laura</t>
  </si>
  <si>
    <t>G-100AD</t>
  </si>
  <si>
    <t>Merja,Charla</t>
  </si>
  <si>
    <t>Latitude 6410</t>
  </si>
  <si>
    <t>Latitude D830</t>
  </si>
  <si>
    <t>G-115</t>
  </si>
  <si>
    <t>G-100DO</t>
  </si>
  <si>
    <t>Jaynes,Lorene</t>
  </si>
  <si>
    <t>Dean's Office</t>
  </si>
  <si>
    <t>Bookstore</t>
  </si>
  <si>
    <t>Halsted,Steve</t>
  </si>
  <si>
    <t>Latitude 6510</t>
  </si>
  <si>
    <t>G-14</t>
  </si>
  <si>
    <t>Dove,Wendy</t>
  </si>
  <si>
    <t>Institutional Research</t>
  </si>
  <si>
    <t>R-271</t>
  </si>
  <si>
    <t>R-241</t>
  </si>
  <si>
    <t>Frost,Leanne</t>
  </si>
  <si>
    <t>R-235</t>
  </si>
  <si>
    <t>Cayko,Brian</t>
  </si>
  <si>
    <t>Respiratory Therapy</t>
  </si>
  <si>
    <t>G-101</t>
  </si>
  <si>
    <t>R-242</t>
  </si>
  <si>
    <t>Vaccaro,Larry</t>
  </si>
  <si>
    <t>Communications</t>
  </si>
  <si>
    <t>G-116</t>
  </si>
  <si>
    <t>Klasner,Lanni</t>
  </si>
  <si>
    <t>R-220E</t>
  </si>
  <si>
    <t>Stivers,Gregory</t>
  </si>
  <si>
    <t>MSUN/MSUGF Student Advising</t>
  </si>
  <si>
    <t>Latitude d510</t>
  </si>
  <si>
    <t>C-105B</t>
  </si>
  <si>
    <t>Compass Test Fee</t>
  </si>
  <si>
    <t>AO25</t>
  </si>
  <si>
    <t>Henderson,Joel</t>
  </si>
  <si>
    <t>Emergency Medical Training</t>
  </si>
  <si>
    <t>R-249</t>
  </si>
  <si>
    <t>Rennie-Varner,Christiana</t>
  </si>
  <si>
    <t>Asus e pad</t>
  </si>
  <si>
    <t>G-10</t>
  </si>
  <si>
    <t>Wolff,Susan</t>
  </si>
  <si>
    <t>Business Office</t>
  </si>
  <si>
    <t>MAC AirBook</t>
  </si>
  <si>
    <t xml:space="preserve">Library </t>
  </si>
  <si>
    <t>Latitude 6520</t>
  </si>
  <si>
    <t>B-112</t>
  </si>
  <si>
    <t>Dolan,Kerry</t>
  </si>
  <si>
    <t>Accounting</t>
  </si>
  <si>
    <t>B-113</t>
  </si>
  <si>
    <t>Myers,Julie</t>
  </si>
  <si>
    <t>Interior Design</t>
  </si>
  <si>
    <t>B-142A</t>
  </si>
  <si>
    <t>Harding,Jason</t>
  </si>
  <si>
    <t>Auto Body</t>
  </si>
  <si>
    <t>B-117</t>
  </si>
  <si>
    <t>Eakman,Donna</t>
  </si>
  <si>
    <t>Business Management</t>
  </si>
  <si>
    <t>T-311</t>
  </si>
  <si>
    <t>Schoenen,Pat</t>
  </si>
  <si>
    <t>Carpentry</t>
  </si>
  <si>
    <t>Inspiorion One 2305</t>
  </si>
  <si>
    <t>R-230</t>
  </si>
  <si>
    <t>Cooper,Susan</t>
  </si>
  <si>
    <t>R-238</t>
  </si>
  <si>
    <t>Heyward,Sandra</t>
  </si>
  <si>
    <t>Pathways-A</t>
  </si>
  <si>
    <t>Pence,Bridgette</t>
  </si>
  <si>
    <t>Perkins Pathways</t>
  </si>
  <si>
    <t>Pathways-B</t>
  </si>
  <si>
    <t>Perkins,Christine</t>
  </si>
  <si>
    <t>R-229</t>
  </si>
  <si>
    <t>T-309</t>
  </si>
  <si>
    <t>Gillespie,Kyle</t>
  </si>
  <si>
    <t>Welding Technology-Great Falls</t>
  </si>
  <si>
    <t>R-237A</t>
  </si>
  <si>
    <t>Allen,Sandra</t>
  </si>
  <si>
    <t>G-12</t>
  </si>
  <si>
    <t>Optiplex 990</t>
  </si>
  <si>
    <t>G-50</t>
  </si>
  <si>
    <t>Sweat,Ja</t>
  </si>
  <si>
    <t>Print Center</t>
  </si>
  <si>
    <t>G-112</t>
  </si>
  <si>
    <t>Mcneill,Linda</t>
  </si>
  <si>
    <t>Bauman,Sandra</t>
  </si>
  <si>
    <t>R-220D</t>
  </si>
  <si>
    <t>Hauer,Jamie</t>
  </si>
  <si>
    <t>Ortega,Eleazer</t>
  </si>
  <si>
    <t>A-210</t>
  </si>
  <si>
    <t>Lords,Quincie</t>
  </si>
  <si>
    <t>R-246</t>
  </si>
  <si>
    <t>Keil,Jill</t>
  </si>
  <si>
    <t>Mathematics</t>
  </si>
  <si>
    <t>C-119A</t>
  </si>
  <si>
    <t>Waite,Kayce</t>
  </si>
  <si>
    <t>C-100REG</t>
  </si>
  <si>
    <t>Ward,Amelia</t>
  </si>
  <si>
    <t>C-108</t>
  </si>
  <si>
    <t>Devine,Dennis</t>
  </si>
  <si>
    <t>Plant Operations &amp; Maintenance</t>
  </si>
  <si>
    <t>A-011</t>
  </si>
  <si>
    <t>A-201</t>
  </si>
  <si>
    <t>R-233</t>
  </si>
  <si>
    <t>Schultz,Cindy</t>
  </si>
  <si>
    <t>G-15</t>
  </si>
  <si>
    <t>Consolvo,Camille</t>
  </si>
  <si>
    <t>G-19</t>
  </si>
  <si>
    <t>Binkley,Ed</t>
  </si>
  <si>
    <t>C-119B</t>
  </si>
  <si>
    <t>McCalla,Alicia</t>
  </si>
  <si>
    <t>A-209</t>
  </si>
  <si>
    <t>Agosto,Eboni</t>
  </si>
  <si>
    <t>A-120A</t>
  </si>
  <si>
    <t>Vosen,Karen</t>
  </si>
  <si>
    <t>Online (e-Learning)</t>
  </si>
  <si>
    <t>A-120</t>
  </si>
  <si>
    <t>Precision M6600</t>
  </si>
  <si>
    <t>A-123</t>
  </si>
  <si>
    <t>Stanley,Cheryl</t>
  </si>
  <si>
    <t>R-273</t>
  </si>
  <si>
    <t>G-104</t>
  </si>
  <si>
    <t>B-106</t>
  </si>
  <si>
    <t>Dwyer,Teri</t>
  </si>
  <si>
    <t>Apple Mac Pro</t>
  </si>
  <si>
    <t>MAC PRO 5,1</t>
  </si>
  <si>
    <t>G-107</t>
  </si>
  <si>
    <t>LAB,Outreach</t>
  </si>
  <si>
    <t>Inspirion Mini</t>
  </si>
  <si>
    <t>G-100SS</t>
  </si>
  <si>
    <t>Freshly,Julie</t>
  </si>
  <si>
    <t>A-122</t>
  </si>
  <si>
    <t>Cummings,Tawni</t>
  </si>
  <si>
    <t>Apple MacMini</t>
  </si>
  <si>
    <t>MACMini</t>
  </si>
  <si>
    <t>B-109</t>
  </si>
  <si>
    <t>Kueffler,Rhonda</t>
  </si>
  <si>
    <t>Graphic Design</t>
  </si>
  <si>
    <t>Latitude E6430</t>
  </si>
  <si>
    <t>B-107</t>
  </si>
  <si>
    <t>R-248</t>
  </si>
  <si>
    <t>Carter,Jana</t>
  </si>
  <si>
    <t>English</t>
  </si>
  <si>
    <t>A-024</t>
  </si>
  <si>
    <t>Brandt,Richard</t>
  </si>
  <si>
    <t>A-214</t>
  </si>
  <si>
    <t>Bechard,Bradley</t>
  </si>
  <si>
    <t>Casmier,Dan</t>
  </si>
  <si>
    <t>Flood,Clairice</t>
  </si>
  <si>
    <t>R-244</t>
  </si>
  <si>
    <t>Hazen,Colleen</t>
  </si>
  <si>
    <t>R-182</t>
  </si>
  <si>
    <t>Perry,Carmen</t>
  </si>
  <si>
    <t>R-185</t>
  </si>
  <si>
    <t>Marshall,Charlene</t>
  </si>
  <si>
    <t>MAINE</t>
  </si>
  <si>
    <t>Newton,Deborah</t>
  </si>
  <si>
    <t>R-239</t>
  </si>
  <si>
    <t>Smith,Valerie</t>
  </si>
  <si>
    <t>G-13</t>
  </si>
  <si>
    <t>Bonilla,Mary Kay</t>
  </si>
  <si>
    <t>R-247</t>
  </si>
  <si>
    <t>Neber,Elfriede</t>
  </si>
  <si>
    <t>Sociology/Psychology</t>
  </si>
  <si>
    <t>B-115</t>
  </si>
  <si>
    <t>Besich,Marilyn</t>
  </si>
  <si>
    <t>MacBook Pro</t>
  </si>
  <si>
    <t>Breau,Wayne</t>
  </si>
  <si>
    <t>Optiplex 9010</t>
  </si>
  <si>
    <t>Myllymaki,Lee Ann</t>
  </si>
  <si>
    <t>Latitude 6430</t>
  </si>
  <si>
    <t>A-207</t>
  </si>
  <si>
    <t>Peffer,Roger</t>
  </si>
  <si>
    <t>Peterson,Emily</t>
  </si>
  <si>
    <t>G-100HR</t>
  </si>
  <si>
    <t>Feulmer,Brianne</t>
  </si>
  <si>
    <t>Latitude XT2</t>
  </si>
  <si>
    <t>G-16</t>
  </si>
  <si>
    <t>Gunter,Deby</t>
  </si>
  <si>
    <t>G-11</t>
  </si>
  <si>
    <t>Stevens,Darryl</t>
  </si>
  <si>
    <t>DELL Tablet</t>
  </si>
  <si>
    <t>Latitude 10</t>
  </si>
  <si>
    <t>Ward,Lynn</t>
  </si>
  <si>
    <t>B-130B</t>
  </si>
  <si>
    <t>Wardinsky Ken</t>
  </si>
  <si>
    <t>G-122</t>
  </si>
  <si>
    <t>G-2</t>
  </si>
  <si>
    <t>Opplex 990</t>
  </si>
  <si>
    <t>R-231</t>
  </si>
  <si>
    <t>Bates,Leonard</t>
  </si>
  <si>
    <t>Optiplex 270</t>
  </si>
  <si>
    <t>R-251</t>
  </si>
  <si>
    <t>Johnson,Rebecca</t>
  </si>
  <si>
    <t>Total Expected Fac/Staff Replacements</t>
  </si>
  <si>
    <t>Avg Cost Midline Comp</t>
  </si>
  <si>
    <t>Expected Estimate (PC Based)</t>
  </si>
  <si>
    <t>No Equipment Fee Included Estimate</t>
  </si>
  <si>
    <t>Network and Infrastructure Refresh (Estimated WISCA)</t>
  </si>
  <si>
    <t>2 year bundled Smartnet (See Detail Sheet)</t>
  </si>
  <si>
    <t>Childcare Network Equipment</t>
  </si>
  <si>
    <t>Nursing Instructor</t>
  </si>
  <si>
    <t>Helpdesk Payroll (From Comp Fees)</t>
  </si>
  <si>
    <t>Annual Allottment of Fees (Voted on)</t>
  </si>
  <si>
    <t>LEM Management</t>
  </si>
  <si>
    <t>Grades First</t>
  </si>
  <si>
    <t>Kurzweil Firefly</t>
  </si>
  <si>
    <t>Phase</t>
  </si>
  <si>
    <t>Item Name</t>
  </si>
  <si>
    <t>Service
Duration</t>
  </si>
  <si>
    <t>Lead
Time</t>
  </si>
  <si>
    <t>Included
Item</t>
  </si>
  <si>
    <t>Qty</t>
  </si>
  <si>
    <t>List Price</t>
  </si>
  <si>
    <t>Extended
List Price</t>
  </si>
  <si>
    <t>Disc %</t>
  </si>
  <si>
    <t>Selling
Price</t>
  </si>
  <si>
    <t>WS-C3850-48PW-S</t>
  </si>
  <si>
    <t>Cisco Catalyst 3850 48 Port Full PoE w/ 5 AP license IP Base</t>
  </si>
  <si>
    <t>N/A</t>
  </si>
  <si>
    <t>14 days</t>
  </si>
  <si>
    <t>No</t>
  </si>
  <si>
    <t>CON-SNT-WSC48PWS</t>
  </si>
  <si>
    <t>SMARTNET 8X5XNBD Cisco Catalyst 3850</t>
  </si>
  <si>
    <t>12 month(s)</t>
  </si>
  <si>
    <t>S3850UK9-32-0SE</t>
  </si>
  <si>
    <t>CAT3850 UNIVERSAL</t>
  </si>
  <si>
    <t>0 days</t>
  </si>
  <si>
    <t>LIC-CTIOS-1A</t>
  </si>
  <si>
    <t>AP adder license for IOS based Wireless LAN Controllers</t>
  </si>
  <si>
    <t>21 days</t>
  </si>
  <si>
    <t>Yes</t>
  </si>
  <si>
    <t>CON-SNT-LCTIOS1A</t>
  </si>
  <si>
    <t>SMARTNET 8X5XNBD AP adder license for</t>
  </si>
  <si>
    <t>PWR-C1-1100WAC</t>
  </si>
  <si>
    <t>1100W AC Config 1 Power Supply</t>
  </si>
  <si>
    <t>CAB-SPWR-30CM</t>
  </si>
  <si>
    <t>Catalyst 3750X Stack Power Cable 30 CM</t>
  </si>
  <si>
    <t>CAB-TA-NA</t>
  </si>
  <si>
    <t>North America AC Type A Power Cable</t>
  </si>
  <si>
    <t>STACK-T1-50CM</t>
  </si>
  <si>
    <t>50CM Type 1 Stacking Cable</t>
  </si>
  <si>
    <t>Cisco Catalyst 3850 2 x 10GE Network Module</t>
  </si>
  <si>
    <t>AIR-CAP3602I-A-K9</t>
  </si>
  <si>
    <t>802.11n CAP w/CleanAir; 4x4:3SS; Mod; Int Ant; A Reg Domain</t>
  </si>
  <si>
    <t>AIR-AP-BRACKET-1</t>
  </si>
  <si>
    <t>802.11n AP Low Profile Mounting Bracket (Default)</t>
  </si>
  <si>
    <t>AIR-AP-T-RAIL-R</t>
  </si>
  <si>
    <t>Ceiling Grid Clip for Aironet APs - Recessed Mount (Default)</t>
  </si>
  <si>
    <t>SWAP3600-RCOVRY-K9</t>
  </si>
  <si>
    <t>Cisco 3600 Series IOS WIRELESS LAN RECOVERY</t>
  </si>
  <si>
    <t>Sub Total Phase 1</t>
  </si>
  <si>
    <t>Cisco Catalyst 3850 48 Port Full PoE</t>
  </si>
  <si>
    <t>Sub Total Phase 2</t>
  </si>
  <si>
    <t>GRAND TOTAL</t>
  </si>
  <si>
    <t>Great Falls College MSU</t>
  </si>
  <si>
    <t>IT Expected Revenue and Expenses Analysis</t>
  </si>
  <si>
    <t>2012-2020</t>
  </si>
  <si>
    <t>Prepared by:  Ken Wardinsky, CTO</t>
  </si>
  <si>
    <t>FY14 Proj</t>
  </si>
  <si>
    <t>FY14 Fixed Costs</t>
  </si>
  <si>
    <t>May</t>
  </si>
  <si>
    <t>PNWGP % of Actual Usage Commodity</t>
  </si>
  <si>
    <t>October/May</t>
  </si>
  <si>
    <t>Equip costs split per % Mbps available to campus to total Mbps-BL join No. Tier assumed 7/1/12</t>
  </si>
  <si>
    <t>Dec</t>
  </si>
  <si>
    <t>December</t>
  </si>
  <si>
    <t>Dell CommVault Banner Usage</t>
  </si>
  <si>
    <t>Check usage in April; split Banner Usage</t>
  </si>
  <si>
    <t>Billings=11TB Data Prot &amp; 4TB Data Archiving, GF=2TB Data Prot, BZ=12TB Data Prot</t>
  </si>
  <si>
    <t>Dell Active Dir Domain &amp; Cons Assess &amp; Design</t>
  </si>
  <si>
    <t>Dell Quest Migration Tool</t>
  </si>
  <si>
    <t>Discussion in progress f/ split or not 3/18/14</t>
  </si>
  <si>
    <t>Ellucian Banner License inc Luminis</t>
  </si>
  <si>
    <t>Evisions Argos</t>
  </si>
  <si>
    <t>Pro-Rated thru June '14, Billings &amp; GF will share, No. TBD later</t>
  </si>
  <si>
    <t>GT Software - Net COBOL - 1 add'l Lic + Pro-rated supp &amp; 1 yr. supp f/ 2 Lic.</t>
  </si>
  <si>
    <t>Pd FY13 in FY12</t>
  </si>
  <si>
    <t>Identity Finder Sftw TrueUp + Add'l Billings Opt In</t>
  </si>
  <si>
    <t>Identity Finder Software Maintenance/Support</t>
  </si>
  <si>
    <t>Ingram Micro - VMWare</t>
  </si>
  <si>
    <t>Pd thru FY16</t>
  </si>
  <si>
    <t>IPAM Appliances Maintenance</t>
  </si>
  <si>
    <t>PO22725</t>
  </si>
  <si>
    <t>iParadigms - Turnitin Software</t>
  </si>
  <si>
    <t>Oracle True Up FY13 Maint (800 lic) + Config Mgt Pkg - Bzn given Alloc. f/ all campuses</t>
  </si>
  <si>
    <t>Qualys Appliance</t>
  </si>
  <si>
    <t>UC4 Appworx ES47 upgrade</t>
  </si>
  <si>
    <t>FTE2014.xlsx</t>
  </si>
  <si>
    <t>.2 Shattuck</t>
  </si>
  <si>
    <t>.3 Laakso</t>
  </si>
  <si>
    <t>.75 Daniel</t>
  </si>
  <si>
    <t>Sorensen+Spicher+Brewer</t>
  </si>
  <si>
    <t>Felkey+VanAlmelo</t>
  </si>
  <si>
    <t>Marchwick+ .5 Pederson+Heer</t>
  </si>
  <si>
    <t>THoffman+Oswald+Scarff</t>
  </si>
  <si>
    <t>PROJECTED FY14 Total Cost Sharing</t>
  </si>
  <si>
    <t xml:space="preserve">FY 12 Expenditures as FY14 Cost-Sharing Basis: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</si>
</sst>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44" formatCode="_(&quot;$&quot;* #,##0.00_);_(&quot;$&quot;* \(#,##0.00\);_(&quot;$&quot;* &quot;-&quot;??_);_(@_)"/>
    <numFmt numFmtId="43" formatCode="_(* #,##0.00_);_(* \(#,##0.00\);_(* &quot;-&quot;??_);_(@_)"/>
    <numFmt numFmtId="164" formatCode="[$-409]d\-mmm\-yy;@"/>
    <numFmt numFmtId="165" formatCode="mm/dd/yy;@"/>
    <numFmt numFmtId="166" formatCode="&quot;$&quot;#,##0.00"/>
    <numFmt numFmtId="167" formatCode="&quot;$&quot;#,##0.00;[Red]&quot;$&quot;#,##0.00"/>
    <numFmt numFmtId="168" formatCode="dd\-mmm\-yy"/>
    <numFmt numFmtId="169" formatCode="_(* #,##0_);_(* \(#,##0\);_(* &quot;-&quot;??_);_(@_)"/>
  </numFmts>
  <fonts count="65">
    <font>
      <sz val="11"/>
      <color theme="1"/>
      <name val="Palatino Linotype"/>
      <family val="2"/>
      <scheme val="minor"/>
    </font>
    <font>
      <b/>
      <sz val="11"/>
      <color theme="0"/>
      <name val="Palatino Linotype"/>
      <family val="2"/>
      <scheme val="minor"/>
    </font>
    <font>
      <sz val="11"/>
      <color theme="1"/>
      <name val="Palatino Linotype"/>
      <family val="2"/>
      <scheme val="minor"/>
    </font>
    <font>
      <sz val="11"/>
      <color rgb="FFFF0000"/>
      <name val="Palatino Linotype"/>
      <family val="2"/>
      <scheme val="minor"/>
    </font>
    <font>
      <b/>
      <sz val="11"/>
      <color theme="1"/>
      <name val="Palatino Linotype"/>
      <family val="2"/>
      <scheme val="minor"/>
    </font>
    <font>
      <sz val="10"/>
      <name val="Arial"/>
      <family val="2"/>
    </font>
    <font>
      <sz val="8"/>
      <name val="Arial"/>
      <family val="2"/>
    </font>
    <font>
      <sz val="9"/>
      <color indexed="81"/>
      <name val="Tahoma"/>
      <family val="2"/>
    </font>
    <font>
      <b/>
      <sz val="9"/>
      <color indexed="81"/>
      <name val="Tahoma"/>
      <family val="2"/>
    </font>
    <font>
      <b/>
      <sz val="11"/>
      <color theme="1"/>
      <name val="Palatino Linotype"/>
      <family val="1"/>
      <scheme val="minor"/>
    </font>
    <font>
      <b/>
      <sz val="10"/>
      <color theme="1"/>
      <name val="Palatino Linotype"/>
      <family val="2"/>
      <scheme val="minor"/>
    </font>
    <font>
      <sz val="8"/>
      <color theme="1"/>
      <name val="Palatino Linotype"/>
      <family val="2"/>
      <scheme val="minor"/>
    </font>
    <font>
      <sz val="8"/>
      <color rgb="FFFF0000"/>
      <name val="Palatino Linotype"/>
      <family val="2"/>
      <scheme val="minor"/>
    </font>
    <font>
      <strike/>
      <sz val="8"/>
      <color theme="1"/>
      <name val="Palatino Linotype"/>
      <family val="2"/>
      <scheme val="minor"/>
    </font>
    <font>
      <strike/>
      <sz val="8"/>
      <color rgb="FFFF0000"/>
      <name val="Palatino Linotype"/>
      <family val="2"/>
      <scheme val="minor"/>
    </font>
    <font>
      <b/>
      <sz val="8"/>
      <name val="Arial"/>
      <family val="2"/>
    </font>
    <font>
      <b/>
      <sz val="24"/>
      <name val="Arial"/>
      <family val="2"/>
    </font>
    <font>
      <b/>
      <sz val="10"/>
      <name val="Arial"/>
      <family val="2"/>
    </font>
    <font>
      <b/>
      <sz val="18"/>
      <name val="Arial"/>
      <family val="2"/>
    </font>
    <font>
      <b/>
      <sz val="16"/>
      <name val="Arial"/>
      <family val="2"/>
    </font>
    <font>
      <b/>
      <sz val="8"/>
      <color theme="1"/>
      <name val="Arial"/>
      <family val="2"/>
    </font>
    <font>
      <sz val="8"/>
      <color theme="1"/>
      <name val="Arial"/>
      <family val="2"/>
    </font>
    <font>
      <u/>
      <sz val="10"/>
      <color indexed="12"/>
      <name val="MS Sans Serif"/>
      <family val="2"/>
    </font>
    <font>
      <b/>
      <sz val="10"/>
      <color indexed="18"/>
      <name val="Arial"/>
      <family val="2"/>
    </font>
    <font>
      <b/>
      <sz val="8"/>
      <color rgb="FFFF0000"/>
      <name val="Arial"/>
      <family val="2"/>
    </font>
    <font>
      <b/>
      <sz val="9"/>
      <name val="Arial"/>
      <family val="2"/>
    </font>
    <font>
      <sz val="9"/>
      <name val="Arial"/>
      <family val="2"/>
    </font>
    <font>
      <b/>
      <u/>
      <sz val="8"/>
      <color indexed="9"/>
      <name val="Arial"/>
      <family val="2"/>
    </font>
    <font>
      <sz val="8"/>
      <name val="Arial Unicode MS"/>
      <family val="2"/>
    </font>
    <font>
      <sz val="8"/>
      <color rgb="FF000000"/>
      <name val="Arial Unicode MS"/>
      <family val="2"/>
    </font>
    <font>
      <b/>
      <sz val="10"/>
      <color indexed="9"/>
      <name val="Arial"/>
      <family val="2"/>
    </font>
    <font>
      <b/>
      <u/>
      <sz val="9"/>
      <name val="Arial"/>
      <family val="2"/>
    </font>
    <font>
      <sz val="8"/>
      <name val="Palatino Linotype"/>
      <family val="2"/>
      <scheme val="minor"/>
    </font>
    <font>
      <sz val="11"/>
      <name val="Palatino Linotype"/>
      <family val="2"/>
      <scheme val="minor"/>
    </font>
    <font>
      <sz val="11"/>
      <color theme="2" tint="-0.499984740745262"/>
      <name val="Palatino Linotype"/>
      <family val="2"/>
      <scheme val="minor"/>
    </font>
    <font>
      <sz val="10"/>
      <name val="Microsoft Sans Serif"/>
      <family val="2"/>
    </font>
    <font>
      <sz val="11"/>
      <color theme="2" tint="-0.749992370372631"/>
      <name val="Palatino Linotype"/>
      <family val="2"/>
      <scheme val="minor"/>
    </font>
    <font>
      <b/>
      <sz val="12"/>
      <name val="Arial MT"/>
    </font>
    <font>
      <b/>
      <sz val="9"/>
      <name val="Arial MT"/>
    </font>
    <font>
      <sz val="9"/>
      <name val="Arial MT"/>
    </font>
    <font>
      <i/>
      <sz val="9"/>
      <name val="Arial MT"/>
    </font>
    <font>
      <b/>
      <i/>
      <sz val="9"/>
      <color theme="0" tint="-0.499984740745262"/>
      <name val="Arial"/>
      <family val="2"/>
    </font>
    <font>
      <sz val="12"/>
      <name val="Arial"/>
      <family val="2"/>
    </font>
    <font>
      <sz val="9"/>
      <color theme="0" tint="-0.499984740745262"/>
      <name val="Arial MT"/>
    </font>
    <font>
      <b/>
      <u/>
      <sz val="9"/>
      <color theme="0" tint="-0.499984740745262"/>
      <name val="Arial MT"/>
    </font>
    <font>
      <sz val="8"/>
      <color theme="0" tint="-0.499984740745262"/>
      <name val="Arial MT"/>
    </font>
    <font>
      <b/>
      <sz val="9"/>
      <color theme="0" tint="-0.499984740745262"/>
      <name val="Arial MT"/>
    </font>
    <font>
      <sz val="9"/>
      <color rgb="FF00B050"/>
      <name val="Arial MT"/>
    </font>
    <font>
      <b/>
      <sz val="9"/>
      <color rgb="FF00B050"/>
      <name val="Arial MT"/>
    </font>
    <font>
      <b/>
      <u/>
      <sz val="9"/>
      <name val="Arial MT"/>
    </font>
    <font>
      <sz val="9"/>
      <color theme="3"/>
      <name val="Arial MT"/>
    </font>
    <font>
      <b/>
      <sz val="9"/>
      <color theme="3"/>
      <name val="Arial MT"/>
    </font>
    <font>
      <i/>
      <sz val="9"/>
      <color theme="0" tint="-0.499984740745262"/>
      <name val="Arial MT"/>
    </font>
    <font>
      <i/>
      <sz val="9"/>
      <color theme="3"/>
      <name val="Arial MT"/>
    </font>
    <font>
      <b/>
      <sz val="11"/>
      <name val="Arial MT"/>
    </font>
    <font>
      <b/>
      <sz val="10"/>
      <name val="Arial MT"/>
    </font>
    <font>
      <i/>
      <sz val="10"/>
      <color theme="0" tint="-0.499984740745262"/>
      <name val="Arial"/>
      <family val="2"/>
    </font>
    <font>
      <sz val="10"/>
      <name val="Arial MT"/>
    </font>
    <font>
      <b/>
      <sz val="8"/>
      <color indexed="81"/>
      <name val="Tahoma"/>
      <family val="2"/>
    </font>
    <font>
      <sz val="8"/>
      <color indexed="81"/>
      <name val="Tahoma"/>
      <family val="2"/>
    </font>
    <font>
      <b/>
      <sz val="16"/>
      <color theme="1"/>
      <name val="Palatino Linotype"/>
      <family val="2"/>
      <scheme val="minor"/>
    </font>
    <font>
      <sz val="9"/>
      <color theme="1"/>
      <name val="Palatino Linotype"/>
      <family val="2"/>
      <scheme val="minor"/>
    </font>
    <font>
      <b/>
      <sz val="14"/>
      <color theme="1"/>
      <name val="Palatino Linotype"/>
      <family val="2"/>
      <scheme val="minor"/>
    </font>
    <font>
      <b/>
      <sz val="20"/>
      <color theme="1"/>
      <name val="Palatino Linotype"/>
      <family val="2"/>
      <scheme val="minor"/>
    </font>
    <font>
      <b/>
      <sz val="18"/>
      <color theme="1"/>
      <name val="Palatino Linotype"/>
      <family val="1"/>
      <scheme val="minor"/>
    </font>
  </fonts>
  <fills count="15">
    <fill>
      <patternFill patternType="none"/>
    </fill>
    <fill>
      <patternFill patternType="gray125"/>
    </fill>
    <fill>
      <patternFill patternType="solid">
        <fgColor theme="4" tint="-0.499984740745262"/>
        <bgColor indexed="64"/>
      </patternFill>
    </fill>
    <fill>
      <patternFill patternType="solid">
        <fgColor rgb="FFFF0000"/>
        <bgColor indexed="64"/>
      </patternFill>
    </fill>
    <fill>
      <patternFill patternType="solid">
        <fgColor rgb="FFFFFF00"/>
        <bgColor indexed="64"/>
      </patternFill>
    </fill>
    <fill>
      <patternFill patternType="solid">
        <fgColor theme="5" tint="0.79998168889431442"/>
        <bgColor indexed="64"/>
      </patternFill>
    </fill>
    <fill>
      <patternFill patternType="solid">
        <fgColor indexed="1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indexed="8"/>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bgColor indexed="64"/>
      </patternFill>
    </fill>
    <fill>
      <patternFill patternType="solid">
        <fgColor theme="3" tint="0.39997558519241921"/>
        <bgColor indexed="64"/>
      </patternFill>
    </fill>
  </fills>
  <borders count="42">
    <border>
      <left/>
      <right/>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auto="1"/>
      </left>
      <right/>
      <top style="thin">
        <color indexed="64"/>
      </top>
      <bottom style="double">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s>
  <cellStyleXfs count="11">
    <xf numFmtId="0" fontId="0" fillId="0" borderId="0"/>
    <xf numFmtId="43" fontId="2" fillId="0" borderId="0" applyFont="0" applyFill="0" applyBorder="0" applyAlignment="0" applyProtection="0"/>
    <xf numFmtId="44" fontId="2" fillId="0" borderId="0" applyFont="0" applyFill="0" applyBorder="0" applyAlignment="0" applyProtection="0"/>
    <xf numFmtId="0" fontId="5" fillId="0" borderId="0"/>
    <xf numFmtId="0" fontId="22" fillId="0" borderId="0" applyNumberFormat="0" applyFill="0" applyBorder="0" applyAlignment="0" applyProtection="0">
      <alignment vertical="top"/>
      <protection locked="0"/>
    </xf>
    <xf numFmtId="0" fontId="5" fillId="0" borderId="0"/>
    <xf numFmtId="0" fontId="5" fillId="0" borderId="0"/>
    <xf numFmtId="0" fontId="42" fillId="0" borderId="0"/>
    <xf numFmtId="43" fontId="42" fillId="0" borderId="0" applyFont="0" applyFill="0" applyBorder="0" applyAlignment="0" applyProtection="0"/>
    <xf numFmtId="43" fontId="5" fillId="0" borderId="0" applyFont="0" applyFill="0" applyBorder="0" applyAlignment="0" applyProtection="0"/>
    <xf numFmtId="9" fontId="42" fillId="0" borderId="0" applyFont="0" applyFill="0" applyBorder="0" applyAlignment="0" applyProtection="0"/>
  </cellStyleXfs>
  <cellXfs count="428">
    <xf numFmtId="0" fontId="0" fillId="0" borderId="0" xfId="0"/>
    <xf numFmtId="0" fontId="1" fillId="2" borderId="1" xfId="0" applyFont="1" applyFill="1" applyBorder="1"/>
    <xf numFmtId="0" fontId="1" fillId="2" borderId="2" xfId="0" applyFont="1" applyFill="1" applyBorder="1"/>
    <xf numFmtId="0" fontId="1" fillId="2" borderId="3" xfId="0" applyFont="1" applyFill="1" applyBorder="1"/>
    <xf numFmtId="0" fontId="0" fillId="0" borderId="4" xfId="0" applyBorder="1"/>
    <xf numFmtId="0" fontId="0" fillId="0" borderId="5" xfId="0" applyBorder="1"/>
    <xf numFmtId="0" fontId="0" fillId="0" borderId="5" xfId="0" applyFont="1" applyBorder="1"/>
    <xf numFmtId="0" fontId="0" fillId="0" borderId="6" xfId="0" applyBorder="1"/>
    <xf numFmtId="0" fontId="1" fillId="2" borderId="2" xfId="0" applyFont="1"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center"/>
    </xf>
    <xf numFmtId="14" fontId="0" fillId="0" borderId="4" xfId="0" applyNumberFormat="1" applyBorder="1" applyAlignment="1">
      <alignment horizontal="center"/>
    </xf>
    <xf numFmtId="14" fontId="0" fillId="0" borderId="5" xfId="0" applyNumberFormat="1" applyBorder="1" applyAlignment="1">
      <alignment horizontal="center"/>
    </xf>
    <xf numFmtId="0" fontId="0" fillId="3" borderId="5" xfId="0" applyFill="1" applyBorder="1"/>
    <xf numFmtId="0" fontId="0" fillId="0" borderId="5" xfId="0" applyFill="1" applyBorder="1"/>
    <xf numFmtId="0" fontId="0" fillId="0" borderId="5" xfId="0" applyFill="1" applyBorder="1" applyAlignment="1">
      <alignment horizontal="center"/>
    </xf>
    <xf numFmtId="0" fontId="0" fillId="0" borderId="6" xfId="0" applyFill="1" applyBorder="1"/>
    <xf numFmtId="0" fontId="1" fillId="2" borderId="0" xfId="0" applyFont="1" applyFill="1" applyBorder="1" applyAlignment="1">
      <alignment horizontal="center"/>
    </xf>
    <xf numFmtId="0" fontId="0" fillId="0" borderId="5" xfId="0" applyFill="1" applyBorder="1" applyAlignment="1">
      <alignment horizontal="left"/>
    </xf>
    <xf numFmtId="0" fontId="1" fillId="2" borderId="7" xfId="0" applyFont="1" applyFill="1" applyBorder="1"/>
    <xf numFmtId="0" fontId="1" fillId="2" borderId="8" xfId="0" applyFont="1" applyFill="1" applyBorder="1"/>
    <xf numFmtId="0" fontId="1" fillId="2" borderId="8" xfId="0" applyFont="1" applyFill="1" applyBorder="1" applyAlignment="1">
      <alignment horizontal="center"/>
    </xf>
    <xf numFmtId="0" fontId="1" fillId="2" borderId="9" xfId="0" applyFont="1" applyFill="1" applyBorder="1"/>
    <xf numFmtId="0" fontId="0" fillId="0" borderId="10" xfId="0" applyBorder="1"/>
    <xf numFmtId="0" fontId="0" fillId="0" borderId="11" xfId="0" applyBorder="1"/>
    <xf numFmtId="14" fontId="0" fillId="0" borderId="11" xfId="0" applyNumberFormat="1" applyBorder="1"/>
    <xf numFmtId="0" fontId="0" fillId="0" borderId="12" xfId="0" applyBorder="1"/>
    <xf numFmtId="0" fontId="0" fillId="0" borderId="13" xfId="0" applyBorder="1"/>
    <xf numFmtId="14" fontId="0" fillId="0" borderId="5" xfId="0" applyNumberFormat="1" applyBorder="1"/>
    <xf numFmtId="0" fontId="0" fillId="0" borderId="14" xfId="0" applyBorder="1"/>
    <xf numFmtId="0" fontId="0" fillId="0" borderId="15" xfId="0" applyBorder="1"/>
    <xf numFmtId="0" fontId="0" fillId="0" borderId="16" xfId="0" applyBorder="1"/>
    <xf numFmtId="0" fontId="0" fillId="0" borderId="17" xfId="0" applyBorder="1"/>
    <xf numFmtId="0" fontId="0" fillId="4" borderId="0" xfId="0" applyFill="1"/>
    <xf numFmtId="44" fontId="0" fillId="0" borderId="0" xfId="2" applyFont="1"/>
    <xf numFmtId="44" fontId="9" fillId="0" borderId="0" xfId="2" applyFont="1"/>
    <xf numFmtId="0" fontId="10" fillId="0" borderId="0" xfId="0" applyFont="1" applyAlignment="1">
      <alignment horizontal="center" vertical="center"/>
    </xf>
    <xf numFmtId="0" fontId="10" fillId="0" borderId="0" xfId="0" applyFont="1" applyAlignment="1">
      <alignment horizontal="center" vertical="center" wrapText="1"/>
    </xf>
    <xf numFmtId="0" fontId="11" fillId="0" borderId="0" xfId="0" applyFont="1" applyAlignment="1">
      <alignment horizontal="center"/>
    </xf>
    <xf numFmtId="0" fontId="11" fillId="0" borderId="0" xfId="0" applyFont="1" applyAlignment="1">
      <alignment wrapText="1"/>
    </xf>
    <xf numFmtId="0" fontId="11" fillId="0" borderId="0" xfId="0" applyFont="1" applyAlignment="1">
      <alignment horizontal="left"/>
    </xf>
    <xf numFmtId="164" fontId="12" fillId="0" borderId="0" xfId="0" applyNumberFormat="1"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164" fontId="11" fillId="0" borderId="0" xfId="0" applyNumberFormat="1"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vertical="center" wrapText="1"/>
    </xf>
    <xf numFmtId="164" fontId="12" fillId="0" borderId="0" xfId="0" applyNumberFormat="1" applyFont="1" applyAlignment="1">
      <alignment horizontal="center"/>
    </xf>
    <xf numFmtId="0" fontId="11" fillId="0" borderId="0" xfId="0" applyFont="1"/>
    <xf numFmtId="0" fontId="13" fillId="0" borderId="0" xfId="0" applyFont="1" applyAlignment="1">
      <alignment horizontal="center"/>
    </xf>
    <xf numFmtId="0" fontId="13" fillId="0" borderId="0" xfId="0" applyFont="1" applyAlignment="1">
      <alignment wrapText="1"/>
    </xf>
    <xf numFmtId="0" fontId="13" fillId="0" borderId="0" xfId="0" applyFont="1" applyAlignment="1">
      <alignment horizontal="left"/>
    </xf>
    <xf numFmtId="164" fontId="14" fillId="0" borderId="0" xfId="0" applyNumberFormat="1" applyFont="1" applyAlignment="1">
      <alignment horizontal="center" vertical="center"/>
    </xf>
    <xf numFmtId="44" fontId="15" fillId="0" borderId="0" xfId="2" applyFont="1"/>
    <xf numFmtId="0" fontId="17" fillId="0" borderId="0" xfId="0" applyFont="1"/>
    <xf numFmtId="44" fontId="17" fillId="0" borderId="0" xfId="2" applyFont="1"/>
    <xf numFmtId="0" fontId="17" fillId="0" borderId="0" xfId="0" applyFont="1" applyAlignment="1">
      <alignment horizontal="left"/>
    </xf>
    <xf numFmtId="0" fontId="19" fillId="0" borderId="0" xfId="0" applyFont="1"/>
    <xf numFmtId="0" fontId="17" fillId="0" borderId="0" xfId="0" applyFont="1" applyFill="1"/>
    <xf numFmtId="165" fontId="20" fillId="0" borderId="0" xfId="0" applyNumberFormat="1" applyFont="1" applyAlignment="1">
      <alignment horizontal="left"/>
    </xf>
    <xf numFmtId="14" fontId="20" fillId="0" borderId="0" xfId="0" applyNumberFormat="1" applyFont="1" applyAlignment="1"/>
    <xf numFmtId="14" fontId="17" fillId="0" borderId="0" xfId="0" applyNumberFormat="1" applyFont="1" applyAlignment="1">
      <alignment horizontal="right"/>
    </xf>
    <xf numFmtId="0" fontId="20" fillId="0" borderId="0" xfId="0" applyFont="1" applyAlignment="1">
      <alignment horizontal="left"/>
    </xf>
    <xf numFmtId="0" fontId="21" fillId="0" borderId="0" xfId="0" applyFont="1"/>
    <xf numFmtId="49" fontId="17" fillId="0" borderId="0" xfId="0" applyNumberFormat="1" applyFont="1" applyAlignment="1">
      <alignment horizontal="right"/>
    </xf>
    <xf numFmtId="0" fontId="17" fillId="0" borderId="0" xfId="0" applyFont="1" applyAlignment="1">
      <alignment horizontal="right"/>
    </xf>
    <xf numFmtId="14" fontId="6" fillId="0" borderId="0" xfId="0" applyNumberFormat="1" applyFont="1" applyAlignment="1">
      <alignment horizontal="left"/>
    </xf>
    <xf numFmtId="0" fontId="6" fillId="0" borderId="0" xfId="0" applyFont="1"/>
    <xf numFmtId="14" fontId="20" fillId="0" borderId="0" xfId="0" applyNumberFormat="1" applyFont="1" applyAlignment="1">
      <alignment horizontal="left"/>
    </xf>
    <xf numFmtId="0" fontId="23" fillId="0" borderId="0" xfId="0" applyFont="1"/>
    <xf numFmtId="0" fontId="23" fillId="0" borderId="0" xfId="0" applyFont="1" applyAlignment="1">
      <alignment horizontal="left"/>
    </xf>
    <xf numFmtId="0" fontId="17" fillId="0" borderId="0" xfId="0" applyFont="1" applyAlignment="1">
      <alignment horizontal="center"/>
    </xf>
    <xf numFmtId="0" fontId="27" fillId="6" borderId="0" xfId="0" applyFont="1" applyFill="1" applyAlignment="1">
      <alignment horizontal="center"/>
    </xf>
    <xf numFmtId="44" fontId="27" fillId="6" borderId="0" xfId="2" applyFont="1" applyFill="1" applyAlignment="1">
      <alignment horizontal="center"/>
    </xf>
    <xf numFmtId="0" fontId="15" fillId="0" borderId="0" xfId="0" applyFont="1" applyFill="1" applyAlignment="1"/>
    <xf numFmtId="0" fontId="28" fillId="0" borderId="0" xfId="3" applyFont="1" applyBorder="1" applyAlignment="1"/>
    <xf numFmtId="44" fontId="6" fillId="0" borderId="0" xfId="2" applyNumberFormat="1" applyFont="1" applyFill="1" applyAlignment="1">
      <alignment horizontal="center"/>
    </xf>
    <xf numFmtId="44" fontId="6" fillId="0" borderId="0" xfId="2" applyFont="1" applyFill="1" applyAlignment="1">
      <alignment horizontal="center"/>
    </xf>
    <xf numFmtId="0" fontId="6" fillId="0" borderId="0" xfId="0" applyFont="1" applyFill="1"/>
    <xf numFmtId="0" fontId="29" fillId="0" borderId="0" xfId="0" applyFont="1" applyFill="1" applyBorder="1" applyAlignment="1"/>
    <xf numFmtId="44" fontId="29" fillId="0" borderId="0" xfId="2" applyNumberFormat="1" applyFont="1" applyFill="1" applyBorder="1" applyAlignment="1"/>
    <xf numFmtId="0" fontId="6" fillId="0" borderId="0" xfId="0" applyFont="1" applyFill="1" applyAlignment="1">
      <alignment horizontal="center"/>
    </xf>
    <xf numFmtId="44" fontId="6" fillId="0" borderId="0" xfId="2" applyFont="1" applyFill="1" applyAlignment="1">
      <alignment horizontal="right"/>
    </xf>
    <xf numFmtId="0" fontId="15" fillId="7" borderId="0" xfId="0" applyFont="1" applyFill="1" applyAlignment="1"/>
    <xf numFmtId="0" fontId="28" fillId="7" borderId="0" xfId="0" applyFont="1" applyFill="1" applyBorder="1" applyAlignment="1"/>
    <xf numFmtId="0" fontId="28" fillId="7" borderId="0" xfId="0" applyFont="1" applyFill="1" applyBorder="1" applyAlignment="1">
      <alignment horizontal="left"/>
    </xf>
    <xf numFmtId="44" fontId="6" fillId="7" borderId="0" xfId="2" applyFont="1" applyFill="1" applyAlignment="1">
      <alignment horizontal="center"/>
    </xf>
    <xf numFmtId="44" fontId="6" fillId="7" borderId="0" xfId="2" applyFont="1" applyFill="1" applyAlignment="1">
      <alignment horizontal="right"/>
    </xf>
    <xf numFmtId="0" fontId="6" fillId="0" borderId="0" xfId="0" applyFont="1" applyAlignment="1"/>
    <xf numFmtId="0" fontId="17" fillId="0" borderId="0" xfId="0" applyFont="1" applyFill="1" applyBorder="1" applyAlignment="1"/>
    <xf numFmtId="0" fontId="15" fillId="0" borderId="0" xfId="0" applyFont="1"/>
    <xf numFmtId="166" fontId="17" fillId="0" borderId="0" xfId="0" applyNumberFormat="1" applyFont="1"/>
    <xf numFmtId="14" fontId="15" fillId="0" borderId="0" xfId="0" applyNumberFormat="1" applyFont="1" applyAlignment="1">
      <alignment horizontal="left"/>
    </xf>
    <xf numFmtId="44" fontId="26" fillId="0" borderId="0" xfId="2" applyFont="1"/>
    <xf numFmtId="0" fontId="26" fillId="0" borderId="0" xfId="0" applyFont="1"/>
    <xf numFmtId="0" fontId="31" fillId="0" borderId="0" xfId="0" applyFont="1" applyAlignment="1">
      <alignment wrapText="1"/>
    </xf>
    <xf numFmtId="0" fontId="9" fillId="0" borderId="0" xfId="0" applyFont="1"/>
    <xf numFmtId="43" fontId="0" fillId="0" borderId="0" xfId="1" applyFont="1"/>
    <xf numFmtId="44" fontId="0" fillId="0" borderId="0" xfId="0" applyNumberFormat="1"/>
    <xf numFmtId="44" fontId="34" fillId="0" borderId="0" xfId="0" applyNumberFormat="1" applyFont="1"/>
    <xf numFmtId="167" fontId="0" fillId="0" borderId="0" xfId="0" applyNumberFormat="1"/>
    <xf numFmtId="0" fontId="5" fillId="0" borderId="0" xfId="3" applyFont="1" applyFill="1"/>
    <xf numFmtId="0" fontId="5" fillId="0" borderId="0" xfId="3" applyFill="1"/>
    <xf numFmtId="14" fontId="5" fillId="0" borderId="0" xfId="3" applyNumberFormat="1" applyFont="1" applyFill="1" applyAlignment="1">
      <alignment horizontal="center"/>
    </xf>
    <xf numFmtId="0" fontId="5" fillId="0" borderId="0" xfId="6" applyFill="1"/>
    <xf numFmtId="167" fontId="5" fillId="0" borderId="0" xfId="3" applyNumberFormat="1" applyFont="1" applyFill="1" applyAlignment="1">
      <alignment horizontal="right"/>
    </xf>
    <xf numFmtId="0" fontId="30" fillId="9" borderId="0" xfId="3" applyFont="1" applyFill="1" applyAlignment="1">
      <alignment horizontal="left"/>
    </xf>
    <xf numFmtId="0" fontId="30" fillId="9" borderId="0" xfId="3" applyFont="1" applyFill="1" applyAlignment="1">
      <alignment horizontal="center"/>
    </xf>
    <xf numFmtId="0" fontId="5" fillId="0" borderId="0" xfId="3" applyFont="1" applyFill="1"/>
    <xf numFmtId="0" fontId="5" fillId="0" borderId="0" xfId="3" applyFill="1"/>
    <xf numFmtId="14" fontId="5" fillId="0" borderId="0" xfId="3" applyNumberFormat="1" applyFont="1" applyFill="1" applyAlignment="1">
      <alignment horizontal="center"/>
    </xf>
    <xf numFmtId="167" fontId="5" fillId="0" borderId="0" xfId="3" applyNumberFormat="1" applyFont="1" applyFill="1" applyAlignment="1">
      <alignment horizontal="right"/>
    </xf>
    <xf numFmtId="0" fontId="5" fillId="0" borderId="0" xfId="6" applyFill="1"/>
    <xf numFmtId="0" fontId="5" fillId="0" borderId="0" xfId="3" applyFont="1"/>
    <xf numFmtId="0" fontId="35" fillId="0" borderId="19" xfId="5" applyFont="1" applyFill="1" applyBorder="1" applyAlignment="1" applyProtection="1">
      <alignment horizontal="left" vertical="top" wrapText="1" shrinkToFit="1"/>
      <protection locked="0"/>
    </xf>
    <xf numFmtId="0" fontId="17" fillId="0" borderId="20" xfId="0" applyFont="1" applyBorder="1"/>
    <xf numFmtId="166" fontId="17" fillId="0" borderId="20" xfId="0" applyNumberFormat="1" applyFont="1" applyBorder="1"/>
    <xf numFmtId="0" fontId="17" fillId="0" borderId="20" xfId="0" applyFont="1" applyBorder="1" applyAlignment="1">
      <alignment horizontal="center"/>
    </xf>
    <xf numFmtId="0" fontId="17" fillId="0" borderId="20" xfId="0" applyFont="1" applyFill="1" applyBorder="1" applyAlignment="1">
      <alignment horizontal="center"/>
    </xf>
    <xf numFmtId="0" fontId="0" fillId="0" borderId="20" xfId="0" applyFill="1" applyBorder="1"/>
    <xf numFmtId="0" fontId="5" fillId="0" borderId="20" xfId="0" applyFont="1" applyFill="1" applyBorder="1"/>
    <xf numFmtId="0" fontId="5" fillId="0" borderId="20" xfId="0" applyFont="1" applyFill="1" applyBorder="1" applyAlignment="1">
      <alignment wrapText="1"/>
    </xf>
    <xf numFmtId="14" fontId="0" fillId="0" borderId="20" xfId="0" applyNumberFormat="1" applyFill="1" applyBorder="1"/>
    <xf numFmtId="49" fontId="5" fillId="0" borderId="20" xfId="0" applyNumberFormat="1" applyFont="1" applyFill="1" applyBorder="1"/>
    <xf numFmtId="166" fontId="0" fillId="0" borderId="20" xfId="0" applyNumberFormat="1" applyFill="1" applyBorder="1"/>
    <xf numFmtId="14" fontId="0" fillId="0" borderId="20" xfId="0" applyNumberFormat="1" applyFill="1" applyBorder="1" applyAlignment="1">
      <alignment horizontal="center"/>
    </xf>
    <xf numFmtId="49" fontId="5" fillId="0" borderId="20" xfId="0" applyNumberFormat="1" applyFont="1" applyFill="1" applyBorder="1" applyAlignment="1">
      <alignment horizontal="right"/>
    </xf>
    <xf numFmtId="14" fontId="5" fillId="0" borderId="20" xfId="0" applyNumberFormat="1" applyFont="1" applyFill="1" applyBorder="1"/>
    <xf numFmtId="166" fontId="5" fillId="0" borderId="20" xfId="0" applyNumberFormat="1" applyFont="1" applyFill="1" applyBorder="1"/>
    <xf numFmtId="14" fontId="5" fillId="0" borderId="20" xfId="0" applyNumberFormat="1" applyFont="1" applyFill="1" applyBorder="1" applyAlignment="1">
      <alignment horizontal="center"/>
    </xf>
    <xf numFmtId="49" fontId="5" fillId="0" borderId="20" xfId="0" applyNumberFormat="1" applyFont="1" applyFill="1" applyBorder="1" applyAlignment="1">
      <alignment horizontal="center"/>
    </xf>
    <xf numFmtId="0" fontId="0" fillId="0" borderId="20" xfId="0" applyFill="1" applyBorder="1" applyAlignment="1">
      <alignment horizontal="center"/>
    </xf>
    <xf numFmtId="0" fontId="5" fillId="0" borderId="20" xfId="0" applyFont="1" applyFill="1" applyBorder="1" applyAlignment="1">
      <alignment horizontal="center"/>
    </xf>
    <xf numFmtId="0" fontId="5" fillId="0" borderId="6" xfId="0" applyFont="1" applyFill="1" applyBorder="1"/>
    <xf numFmtId="0" fontId="0" fillId="0" borderId="0" xfId="0" applyFill="1" applyAlignment="1">
      <alignment horizontal="center"/>
    </xf>
    <xf numFmtId="166" fontId="0" fillId="0" borderId="6" xfId="0" applyNumberFormat="1" applyFill="1" applyBorder="1"/>
    <xf numFmtId="14" fontId="0" fillId="0" borderId="6" xfId="0" applyNumberFormat="1" applyFill="1" applyBorder="1" applyAlignment="1">
      <alignment horizontal="center"/>
    </xf>
    <xf numFmtId="49" fontId="5" fillId="0" borderId="6" xfId="0" applyNumberFormat="1" applyFont="1" applyFill="1" applyBorder="1" applyAlignment="1">
      <alignment horizontal="center"/>
    </xf>
    <xf numFmtId="166" fontId="33" fillId="0" borderId="20" xfId="0" applyNumberFormat="1" applyFont="1" applyFill="1" applyBorder="1"/>
    <xf numFmtId="166" fontId="3" fillId="0" borderId="20" xfId="0" applyNumberFormat="1" applyFont="1" applyFill="1" applyBorder="1"/>
    <xf numFmtId="4" fontId="36" fillId="0" borderId="20" xfId="0" applyNumberFormat="1" applyFont="1" applyFill="1" applyBorder="1"/>
    <xf numFmtId="0" fontId="5" fillId="0" borderId="0" xfId="0" applyFont="1" applyFill="1" applyBorder="1"/>
    <xf numFmtId="166" fontId="0" fillId="0" borderId="0" xfId="0" applyNumberFormat="1" applyFill="1" applyBorder="1"/>
    <xf numFmtId="0" fontId="5" fillId="0" borderId="5" xfId="0" applyFont="1" applyFill="1" applyBorder="1"/>
    <xf numFmtId="0" fontId="0" fillId="0" borderId="0" xfId="0" applyBorder="1"/>
    <xf numFmtId="0" fontId="6" fillId="0" borderId="20" xfId="3" applyFont="1" applyBorder="1" applyAlignment="1">
      <alignment vertical="top"/>
    </xf>
    <xf numFmtId="0" fontId="0" fillId="0" borderId="20" xfId="0" applyBorder="1"/>
    <xf numFmtId="0" fontId="6" fillId="0" borderId="20" xfId="3" applyFont="1" applyFill="1" applyBorder="1" applyAlignment="1">
      <alignment vertical="top"/>
    </xf>
    <xf numFmtId="0" fontId="37" fillId="0" borderId="0" xfId="0" applyNumberFormat="1" applyFont="1" applyAlignment="1"/>
    <xf numFmtId="0" fontId="38" fillId="0" borderId="0" xfId="0" applyNumberFormat="1" applyFont="1" applyAlignment="1"/>
    <xf numFmtId="0" fontId="38" fillId="0" borderId="0" xfId="0" quotePrefix="1" applyNumberFormat="1" applyFont="1" applyFill="1" applyAlignment="1">
      <alignment horizontal="left"/>
    </xf>
    <xf numFmtId="0" fontId="38" fillId="0" borderId="0" xfId="0" applyNumberFormat="1" applyFont="1" applyFill="1"/>
    <xf numFmtId="0" fontId="38" fillId="0" borderId="0" xfId="0" applyNumberFormat="1" applyFont="1" applyFill="1" applyAlignment="1"/>
    <xf numFmtId="0" fontId="39" fillId="0" borderId="0" xfId="0" applyNumberFormat="1" applyFont="1" applyFill="1" applyAlignment="1"/>
    <xf numFmtId="0" fontId="37" fillId="0" borderId="0" xfId="0" applyNumberFormat="1" applyFont="1" applyFill="1" applyAlignment="1">
      <alignment horizontal="left"/>
    </xf>
    <xf numFmtId="168" fontId="38" fillId="0" borderId="0" xfId="0" applyNumberFormat="1" applyFont="1" applyFill="1"/>
    <xf numFmtId="0" fontId="39" fillId="0" borderId="0" xfId="0" applyNumberFormat="1" applyFont="1" applyFill="1" applyAlignment="1">
      <alignment horizontal="fill"/>
    </xf>
    <xf numFmtId="10" fontId="38" fillId="0" borderId="0" xfId="0" applyNumberFormat="1" applyFont="1" applyFill="1" applyAlignment="1">
      <alignment horizontal="left"/>
    </xf>
    <xf numFmtId="0" fontId="39" fillId="0" borderId="0" xfId="0" applyNumberFormat="1" applyFont="1" applyAlignment="1"/>
    <xf numFmtId="0" fontId="38" fillId="0" borderId="0" xfId="0" applyNumberFormat="1" applyFont="1" applyFill="1" applyAlignment="1">
      <alignment horizontal="left"/>
    </xf>
    <xf numFmtId="10" fontId="38" fillId="0" borderId="0" xfId="0" applyNumberFormat="1" applyFont="1" applyFill="1" applyAlignment="1">
      <alignment horizontal="center"/>
    </xf>
    <xf numFmtId="10" fontId="39" fillId="0" borderId="0" xfId="0" applyNumberFormat="1" applyFont="1" applyFill="1" applyAlignment="1">
      <alignment horizontal="fill"/>
    </xf>
    <xf numFmtId="0" fontId="39" fillId="0" borderId="0" xfId="0" applyNumberFormat="1" applyFont="1"/>
    <xf numFmtId="0" fontId="40" fillId="0" borderId="0" xfId="0" applyNumberFormat="1" applyFont="1" applyFill="1" applyAlignment="1"/>
    <xf numFmtId="0" fontId="38" fillId="0" borderId="0" xfId="0" applyNumberFormat="1" applyFont="1" applyFill="1" applyAlignment="1">
      <alignment horizontal="fill"/>
    </xf>
    <xf numFmtId="0" fontId="38" fillId="10" borderId="22" xfId="0" applyNumberFormat="1" applyFont="1" applyFill="1" applyBorder="1" applyAlignment="1"/>
    <xf numFmtId="0" fontId="38" fillId="10" borderId="0" xfId="0" applyNumberFormat="1" applyFont="1" applyFill="1" applyBorder="1" applyAlignment="1"/>
    <xf numFmtId="10" fontId="38" fillId="10" borderId="23" xfId="0" applyNumberFormat="1" applyFont="1" applyFill="1" applyBorder="1" applyAlignment="1">
      <alignment horizontal="center"/>
    </xf>
    <xf numFmtId="0" fontId="38" fillId="8" borderId="22" xfId="0" applyNumberFormat="1" applyFont="1" applyFill="1" applyBorder="1" applyAlignment="1"/>
    <xf numFmtId="0" fontId="38" fillId="8" borderId="0" xfId="0" applyNumberFormat="1" applyFont="1" applyFill="1" applyBorder="1" applyAlignment="1"/>
    <xf numFmtId="10" fontId="38" fillId="8" borderId="23" xfId="0" applyNumberFormat="1" applyFont="1" applyFill="1" applyBorder="1" applyAlignment="1">
      <alignment horizontal="center"/>
    </xf>
    <xf numFmtId="0" fontId="40" fillId="0" borderId="0" xfId="0" applyNumberFormat="1" applyFont="1" applyFill="1" applyAlignment="1">
      <alignment horizontal="left"/>
    </xf>
    <xf numFmtId="0" fontId="38" fillId="0" borderId="22" xfId="0" applyNumberFormat="1" applyFont="1" applyFill="1" applyBorder="1" applyAlignment="1"/>
    <xf numFmtId="0" fontId="38" fillId="0" borderId="0" xfId="0" applyNumberFormat="1" applyFont="1" applyFill="1" applyBorder="1" applyAlignment="1"/>
    <xf numFmtId="10" fontId="38" fillId="0" borderId="23" xfId="0" applyNumberFormat="1" applyFont="1" applyFill="1" applyBorder="1" applyAlignment="1">
      <alignment horizontal="left"/>
    </xf>
    <xf numFmtId="10" fontId="38" fillId="0" borderId="22" xfId="0" applyNumberFormat="1" applyFont="1" applyFill="1" applyBorder="1" applyAlignment="1">
      <alignment horizontal="left"/>
    </xf>
    <xf numFmtId="0" fontId="41" fillId="0" borderId="0" xfId="0" applyFont="1" applyFill="1"/>
    <xf numFmtId="0" fontId="26" fillId="0" borderId="22" xfId="0" applyFont="1" applyBorder="1"/>
    <xf numFmtId="0" fontId="26" fillId="0" borderId="0" xfId="0" applyFont="1" applyBorder="1"/>
    <xf numFmtId="0" fontId="26" fillId="0" borderId="23" xfId="0" applyFont="1" applyBorder="1"/>
    <xf numFmtId="0" fontId="43" fillId="0" borderId="0" xfId="7" applyNumberFormat="1" applyFont="1" applyFill="1" applyAlignment="1"/>
    <xf numFmtId="0" fontId="44" fillId="0" borderId="0" xfId="7" applyNumberFormat="1" applyFont="1" applyFill="1" applyAlignment="1"/>
    <xf numFmtId="39" fontId="43" fillId="0" borderId="22" xfId="7" applyNumberFormat="1" applyFont="1" applyFill="1" applyBorder="1" applyAlignment="1"/>
    <xf numFmtId="0" fontId="43" fillId="0" borderId="0" xfId="7" applyNumberFormat="1" applyFont="1" applyFill="1" applyBorder="1" applyAlignment="1"/>
    <xf numFmtId="10" fontId="43" fillId="0" borderId="0" xfId="7" applyNumberFormat="1" applyFont="1" applyFill="1" applyBorder="1" applyAlignment="1">
      <alignment horizontal="fill"/>
    </xf>
    <xf numFmtId="10" fontId="43" fillId="0" borderId="23" xfId="7" applyNumberFormat="1" applyFont="1" applyFill="1" applyBorder="1" applyAlignment="1">
      <alignment horizontal="fill"/>
    </xf>
    <xf numFmtId="10" fontId="43" fillId="0" borderId="0" xfId="7" applyNumberFormat="1" applyFont="1" applyFill="1" applyAlignment="1">
      <alignment horizontal="fill"/>
    </xf>
    <xf numFmtId="10" fontId="43" fillId="0" borderId="22" xfId="7" applyNumberFormat="1" applyFont="1" applyFill="1" applyBorder="1" applyAlignment="1">
      <alignment horizontal="fill"/>
    </xf>
    <xf numFmtId="0" fontId="43" fillId="0" borderId="0" xfId="7" applyNumberFormat="1" applyFont="1" applyFill="1"/>
    <xf numFmtId="0" fontId="43" fillId="0" borderId="0" xfId="7" applyNumberFormat="1" applyFont="1" applyFill="1" applyAlignment="1">
      <alignment horizontal="left" indent="1"/>
    </xf>
    <xf numFmtId="0" fontId="45" fillId="0" borderId="0" xfId="7" applyNumberFormat="1" applyFont="1" applyFill="1" applyAlignment="1"/>
    <xf numFmtId="39" fontId="43" fillId="0" borderId="22" xfId="7" applyNumberFormat="1" applyFont="1" applyFill="1" applyBorder="1"/>
    <xf numFmtId="39" fontId="43" fillId="0" borderId="0" xfId="7" applyNumberFormat="1" applyFont="1" applyFill="1" applyBorder="1"/>
    <xf numFmtId="39" fontId="43" fillId="0" borderId="23" xfId="7" applyNumberFormat="1" applyFont="1" applyFill="1" applyBorder="1"/>
    <xf numFmtId="7" fontId="43" fillId="0" borderId="0" xfId="7" applyNumberFormat="1" applyFont="1" applyFill="1"/>
    <xf numFmtId="43" fontId="43" fillId="0" borderId="22" xfId="8" applyFont="1" applyFill="1" applyBorder="1"/>
    <xf numFmtId="43" fontId="43" fillId="0" borderId="0" xfId="8" applyFont="1" applyFill="1"/>
    <xf numFmtId="39" fontId="43" fillId="0" borderId="0" xfId="7" applyNumberFormat="1" applyFont="1" applyFill="1"/>
    <xf numFmtId="39" fontId="43" fillId="0" borderId="0" xfId="7" applyNumberFormat="1" applyFont="1" applyFill="1" applyAlignment="1"/>
    <xf numFmtId="0" fontId="43" fillId="0" borderId="0" xfId="7" applyNumberFormat="1" applyFont="1" applyFill="1" applyAlignment="1">
      <alignment horizontal="left" indent="2"/>
    </xf>
    <xf numFmtId="39" fontId="43" fillId="0" borderId="0" xfId="7" applyNumberFormat="1" applyFont="1" applyFill="1" applyBorder="1" applyAlignment="1"/>
    <xf numFmtId="39" fontId="43" fillId="0" borderId="22" xfId="7" applyNumberFormat="1" applyFont="1" applyFill="1" applyBorder="1" applyAlignment="1">
      <alignment horizontal="right"/>
    </xf>
    <xf numFmtId="0" fontId="43" fillId="0" borderId="0" xfId="7" applyNumberFormat="1" applyFont="1" applyFill="1" applyBorder="1" applyAlignment="1">
      <alignment horizontal="left" indent="1"/>
    </xf>
    <xf numFmtId="39" fontId="43" fillId="0" borderId="23" xfId="7" applyNumberFormat="1" applyFont="1" applyFill="1" applyBorder="1" applyAlignment="1"/>
    <xf numFmtId="0" fontId="46" fillId="0" borderId="0" xfId="7" applyNumberFormat="1" applyFont="1" applyFill="1" applyAlignment="1"/>
    <xf numFmtId="39" fontId="46" fillId="0" borderId="26" xfId="7" applyNumberFormat="1" applyFont="1" applyFill="1" applyBorder="1" applyAlignment="1"/>
    <xf numFmtId="39" fontId="46" fillId="0" borderId="27" xfId="7" applyNumberFormat="1" applyFont="1" applyFill="1" applyBorder="1" applyAlignment="1"/>
    <xf numFmtId="39" fontId="46" fillId="0" borderId="28" xfId="7" applyNumberFormat="1" applyFont="1" applyFill="1" applyBorder="1" applyAlignment="1"/>
    <xf numFmtId="39" fontId="46" fillId="0" borderId="0" xfId="7" applyNumberFormat="1" applyFont="1" applyFill="1" applyAlignment="1"/>
    <xf numFmtId="39" fontId="46" fillId="0" borderId="22" xfId="7" applyNumberFormat="1" applyFont="1" applyFill="1" applyBorder="1" applyAlignment="1"/>
    <xf numFmtId="39" fontId="46" fillId="0" borderId="23" xfId="7" applyNumberFormat="1" applyFont="1" applyFill="1" applyBorder="1" applyAlignment="1"/>
    <xf numFmtId="0" fontId="39" fillId="0" borderId="0" xfId="7" applyNumberFormat="1" applyFont="1" applyFill="1"/>
    <xf numFmtId="39" fontId="47" fillId="0" borderId="22" xfId="7" applyNumberFormat="1" applyFont="1" applyFill="1" applyBorder="1"/>
    <xf numFmtId="39" fontId="47" fillId="0" borderId="0" xfId="7" applyNumberFormat="1" applyFont="1" applyFill="1" applyBorder="1"/>
    <xf numFmtId="39" fontId="47" fillId="0" borderId="23" xfId="7" applyNumberFormat="1" applyFont="1" applyFill="1" applyBorder="1"/>
    <xf numFmtId="39" fontId="47" fillId="0" borderId="0" xfId="7" applyNumberFormat="1" applyFont="1" applyFill="1"/>
    <xf numFmtId="39" fontId="38" fillId="0" borderId="0" xfId="7" applyNumberFormat="1" applyFont="1" applyFill="1" applyAlignment="1"/>
    <xf numFmtId="39" fontId="48" fillId="0" borderId="0" xfId="7" applyNumberFormat="1" applyFont="1" applyFill="1" applyAlignment="1"/>
    <xf numFmtId="0" fontId="47" fillId="0" borderId="0" xfId="7" applyNumberFormat="1" applyFont="1" applyFill="1" applyAlignment="1"/>
    <xf numFmtId="0" fontId="39" fillId="0" borderId="0" xfId="7" applyNumberFormat="1" applyFont="1" applyFill="1" applyAlignment="1"/>
    <xf numFmtId="0" fontId="25" fillId="0" borderId="0" xfId="0" applyFont="1" applyFill="1"/>
    <xf numFmtId="0" fontId="25" fillId="0" borderId="0" xfId="0" quotePrefix="1" applyFont="1"/>
    <xf numFmtId="43" fontId="26" fillId="0" borderId="22" xfId="8" applyNumberFormat="1" applyFont="1" applyFill="1" applyBorder="1"/>
    <xf numFmtId="43" fontId="25" fillId="0" borderId="0" xfId="8" applyNumberFormat="1" applyFont="1" applyBorder="1"/>
    <xf numFmtId="0" fontId="25" fillId="0" borderId="23" xfId="0" applyFont="1" applyBorder="1"/>
    <xf numFmtId="0" fontId="25" fillId="0" borderId="0" xfId="0" applyFont="1"/>
    <xf numFmtId="0" fontId="25" fillId="0" borderId="22" xfId="0" applyFont="1" applyBorder="1"/>
    <xf numFmtId="39" fontId="39" fillId="0" borderId="0" xfId="0" applyNumberFormat="1" applyFont="1" applyFill="1" applyAlignment="1"/>
    <xf numFmtId="0" fontId="49" fillId="0" borderId="0" xfId="0" quotePrefix="1" applyNumberFormat="1" applyFont="1" applyFill="1" applyBorder="1" applyAlignment="1">
      <alignment horizontal="left"/>
    </xf>
    <xf numFmtId="39" fontId="39" fillId="0" borderId="22" xfId="0" applyNumberFormat="1" applyFont="1" applyFill="1" applyBorder="1"/>
    <xf numFmtId="39" fontId="39" fillId="0" borderId="0" xfId="0" applyNumberFormat="1" applyFont="1" applyFill="1" applyBorder="1"/>
    <xf numFmtId="39" fontId="39" fillId="0" borderId="23" xfId="0" applyNumberFormat="1" applyFont="1" applyFill="1" applyBorder="1"/>
    <xf numFmtId="39" fontId="39" fillId="0" borderId="0" xfId="0" applyNumberFormat="1" applyFont="1" applyFill="1"/>
    <xf numFmtId="0" fontId="40" fillId="0" borderId="0" xfId="0" applyNumberFormat="1" applyFont="1" applyAlignment="1">
      <alignment horizontal="right"/>
    </xf>
    <xf numFmtId="2" fontId="40" fillId="0" borderId="0" xfId="0" applyNumberFormat="1" applyFont="1" applyFill="1" applyAlignment="1">
      <alignment horizontal="left"/>
    </xf>
    <xf numFmtId="0" fontId="39" fillId="0" borderId="0" xfId="0" applyNumberFormat="1" applyFont="1" applyFill="1" applyAlignment="1">
      <alignment horizontal="left" indent="1"/>
    </xf>
    <xf numFmtId="39" fontId="39" fillId="0" borderId="0" xfId="0" applyNumberFormat="1" applyFont="1" applyFill="1" applyAlignment="1">
      <alignment horizontal="center"/>
    </xf>
    <xf numFmtId="0" fontId="39" fillId="0" borderId="23" xfId="0" applyNumberFormat="1" applyFont="1" applyFill="1" applyBorder="1" applyAlignment="1"/>
    <xf numFmtId="0" fontId="40" fillId="0" borderId="0" xfId="0" applyNumberFormat="1" applyFont="1" applyBorder="1" applyAlignment="1">
      <alignment horizontal="left"/>
    </xf>
    <xf numFmtId="39" fontId="38" fillId="0" borderId="0" xfId="0" applyNumberFormat="1" applyFont="1" applyFill="1" applyAlignment="1"/>
    <xf numFmtId="39" fontId="39" fillId="0" borderId="0" xfId="0" quotePrefix="1" applyNumberFormat="1" applyFont="1" applyFill="1" applyAlignment="1">
      <alignment horizontal="left"/>
    </xf>
    <xf numFmtId="0" fontId="39" fillId="11" borderId="0" xfId="0" applyNumberFormat="1" applyFont="1" applyFill="1" applyAlignment="1">
      <alignment horizontal="center"/>
    </xf>
    <xf numFmtId="0" fontId="40" fillId="0" borderId="0" xfId="0" applyNumberFormat="1" applyFont="1" applyBorder="1" applyAlignment="1"/>
    <xf numFmtId="39" fontId="39" fillId="0" borderId="0" xfId="0" applyNumberFormat="1" applyFont="1" applyFill="1" applyAlignment="1">
      <alignment horizontal="left"/>
    </xf>
    <xf numFmtId="39" fontId="39" fillId="0" borderId="0" xfId="0" applyNumberFormat="1" applyFont="1" applyFill="1" applyBorder="1" applyAlignment="1">
      <alignment horizontal="center"/>
    </xf>
    <xf numFmtId="39" fontId="38" fillId="0" borderId="0" xfId="0" applyNumberFormat="1" applyFont="1" applyFill="1"/>
    <xf numFmtId="0" fontId="50" fillId="0" borderId="0" xfId="0" applyNumberFormat="1" applyFont="1" applyFill="1"/>
    <xf numFmtId="39" fontId="50" fillId="0" borderId="22" xfId="0" applyNumberFormat="1" applyFont="1" applyFill="1" applyBorder="1"/>
    <xf numFmtId="39" fontId="50" fillId="0" borderId="0" xfId="0" applyNumberFormat="1" applyFont="1" applyFill="1" applyBorder="1"/>
    <xf numFmtId="39" fontId="50" fillId="0" borderId="23" xfId="0" applyNumberFormat="1" applyFont="1" applyFill="1" applyBorder="1"/>
    <xf numFmtId="39" fontId="50" fillId="0" borderId="0" xfId="0" applyNumberFormat="1" applyFont="1" applyFill="1"/>
    <xf numFmtId="39" fontId="51" fillId="0" borderId="0" xfId="0" applyNumberFormat="1" applyFont="1" applyFill="1" applyAlignment="1"/>
    <xf numFmtId="0" fontId="50" fillId="0" borderId="0" xfId="0" applyNumberFormat="1" applyFont="1" applyFill="1" applyAlignment="1"/>
    <xf numFmtId="0" fontId="50" fillId="0" borderId="0" xfId="0" applyNumberFormat="1" applyFont="1" applyAlignment="1"/>
    <xf numFmtId="0" fontId="49" fillId="0" borderId="0" xfId="0" quotePrefix="1" applyNumberFormat="1" applyFont="1" applyFill="1" applyAlignment="1">
      <alignment horizontal="left"/>
    </xf>
    <xf numFmtId="39" fontId="39" fillId="0" borderId="22" xfId="0" applyNumberFormat="1" applyFont="1" applyFill="1" applyBorder="1" applyAlignment="1"/>
    <xf numFmtId="39" fontId="39" fillId="0" borderId="0" xfId="0" applyNumberFormat="1" applyFont="1" applyFill="1" applyBorder="1" applyAlignment="1"/>
    <xf numFmtId="39" fontId="39" fillId="0" borderId="23" xfId="0" applyNumberFormat="1" applyFont="1" applyFill="1" applyBorder="1" applyAlignment="1"/>
    <xf numFmtId="0" fontId="52" fillId="0" borderId="0" xfId="0" applyNumberFormat="1" applyFont="1" applyAlignment="1"/>
    <xf numFmtId="39" fontId="40" fillId="0" borderId="0" xfId="0" applyNumberFormat="1" applyFont="1" applyFill="1"/>
    <xf numFmtId="4" fontId="39" fillId="0" borderId="0" xfId="0" applyNumberFormat="1" applyFont="1" applyFill="1"/>
    <xf numFmtId="43" fontId="39" fillId="0" borderId="0" xfId="8" applyFont="1" applyAlignment="1"/>
    <xf numFmtId="39" fontId="38" fillId="0" borderId="22" xfId="0" applyNumberFormat="1" applyFont="1" applyFill="1" applyBorder="1" applyAlignment="1"/>
    <xf numFmtId="39" fontId="38" fillId="0" borderId="23" xfId="0" applyNumberFormat="1" applyFont="1" applyFill="1" applyBorder="1" applyAlignment="1"/>
    <xf numFmtId="39" fontId="38" fillId="0" borderId="0" xfId="0" applyNumberFormat="1" applyFont="1" applyFill="1" applyBorder="1" applyAlignment="1"/>
    <xf numFmtId="39" fontId="39" fillId="12" borderId="0" xfId="0" applyNumberFormat="1" applyFont="1" applyFill="1" applyAlignment="1"/>
    <xf numFmtId="39" fontId="40" fillId="0" borderId="0" xfId="7" applyNumberFormat="1" applyFont="1" applyFill="1" applyAlignment="1"/>
    <xf numFmtId="0" fontId="39" fillId="0" borderId="0" xfId="0" applyNumberFormat="1" applyFont="1" applyFill="1"/>
    <xf numFmtId="0" fontId="39" fillId="0" borderId="22" xfId="0" applyNumberFormat="1" applyFont="1" applyBorder="1" applyAlignment="1"/>
    <xf numFmtId="0" fontId="39" fillId="0" borderId="0" xfId="0" applyNumberFormat="1" applyFont="1" applyBorder="1" applyAlignment="1"/>
    <xf numFmtId="0" fontId="39" fillId="0" borderId="23" xfId="0" applyNumberFormat="1" applyFont="1" applyBorder="1" applyAlignment="1"/>
    <xf numFmtId="3" fontId="40" fillId="0" borderId="0" xfId="0" applyNumberFormat="1" applyFont="1" applyFill="1" applyAlignment="1"/>
    <xf numFmtId="0" fontId="39" fillId="0" borderId="0" xfId="0" applyNumberFormat="1" applyFont="1" applyFill="1" applyBorder="1" applyAlignment="1">
      <alignment horizontal="left" indent="1"/>
    </xf>
    <xf numFmtId="39" fontId="39" fillId="0" borderId="0" xfId="7" applyNumberFormat="1" applyFont="1" applyFill="1" applyAlignment="1"/>
    <xf numFmtId="4" fontId="38" fillId="0" borderId="0" xfId="0" applyNumberFormat="1" applyFont="1" applyFill="1" applyAlignment="1"/>
    <xf numFmtId="0" fontId="39" fillId="0" borderId="0" xfId="0" applyNumberFormat="1" applyFont="1" applyAlignment="1">
      <alignment horizontal="center"/>
    </xf>
    <xf numFmtId="3" fontId="40" fillId="0" borderId="0" xfId="0" applyNumberFormat="1" applyFont="1" applyFill="1" applyBorder="1" applyAlignment="1"/>
    <xf numFmtId="39" fontId="39" fillId="0" borderId="24" xfId="0" applyNumberFormat="1" applyFont="1" applyFill="1" applyBorder="1"/>
    <xf numFmtId="39" fontId="39" fillId="0" borderId="21" xfId="0" applyNumberFormat="1" applyFont="1" applyFill="1" applyBorder="1"/>
    <xf numFmtId="3" fontId="39" fillId="0" borderId="0" xfId="0" applyNumberFormat="1" applyFont="1" applyFill="1" applyAlignment="1"/>
    <xf numFmtId="0" fontId="50" fillId="0" borderId="22" xfId="0" applyNumberFormat="1" applyFont="1" applyBorder="1" applyAlignment="1"/>
    <xf numFmtId="0" fontId="50" fillId="0" borderId="0" xfId="0" applyNumberFormat="1" applyFont="1" applyBorder="1" applyAlignment="1"/>
    <xf numFmtId="39" fontId="51" fillId="0" borderId="23" xfId="0" applyNumberFormat="1" applyFont="1" applyFill="1" applyBorder="1" applyAlignment="1"/>
    <xf numFmtId="0" fontId="50" fillId="0" borderId="23" xfId="0" applyNumberFormat="1" applyFont="1" applyBorder="1" applyAlignment="1"/>
    <xf numFmtId="0" fontId="40" fillId="0" borderId="0" xfId="0" applyNumberFormat="1" applyFont="1" applyAlignment="1"/>
    <xf numFmtId="39" fontId="39" fillId="0" borderId="24" xfId="0" applyNumberFormat="1" applyFont="1" applyFill="1" applyBorder="1" applyAlignment="1"/>
    <xf numFmtId="39" fontId="39" fillId="0" borderId="21" xfId="0" applyNumberFormat="1" applyFont="1" applyFill="1" applyBorder="1" applyAlignment="1"/>
    <xf numFmtId="39" fontId="39" fillId="0" borderId="25" xfId="0" applyNumberFormat="1" applyFont="1" applyFill="1" applyBorder="1"/>
    <xf numFmtId="39" fontId="40" fillId="0" borderId="0" xfId="0" applyNumberFormat="1" applyFont="1" applyFill="1" applyAlignment="1"/>
    <xf numFmtId="0" fontId="49" fillId="0" borderId="0" xfId="0" applyNumberFormat="1" applyFont="1" applyFill="1" applyAlignment="1"/>
    <xf numFmtId="0" fontId="53" fillId="0" borderId="0" xfId="0" applyNumberFormat="1" applyFont="1" applyAlignment="1"/>
    <xf numFmtId="39" fontId="50" fillId="0" borderId="22" xfId="0" applyNumberFormat="1" applyFont="1" applyFill="1" applyBorder="1" applyAlignment="1"/>
    <xf numFmtId="39" fontId="50" fillId="0" borderId="0" xfId="0" applyNumberFormat="1" applyFont="1" applyFill="1" applyBorder="1" applyAlignment="1"/>
    <xf numFmtId="39" fontId="50" fillId="0" borderId="23" xfId="0" applyNumberFormat="1" applyFont="1" applyFill="1" applyBorder="1" applyAlignment="1"/>
    <xf numFmtId="39" fontId="50" fillId="0" borderId="0" xfId="0" applyNumberFormat="1" applyFont="1" applyFill="1" applyAlignment="1"/>
    <xf numFmtId="0" fontId="50" fillId="0" borderId="0" xfId="0" applyNumberFormat="1" applyFont="1"/>
    <xf numFmtId="39" fontId="39" fillId="0" borderId="23" xfId="0" applyNumberFormat="1" applyFont="1" applyBorder="1" applyAlignment="1"/>
    <xf numFmtId="0" fontId="50" fillId="0" borderId="22" xfId="0" applyNumberFormat="1" applyFont="1" applyFill="1" applyBorder="1"/>
    <xf numFmtId="0" fontId="50" fillId="0" borderId="0" xfId="0" applyNumberFormat="1" applyFont="1" applyFill="1" applyBorder="1"/>
    <xf numFmtId="0" fontId="50" fillId="0" borderId="23" xfId="0" applyNumberFormat="1" applyFont="1" applyFill="1" applyBorder="1"/>
    <xf numFmtId="0" fontId="38" fillId="0" borderId="0" xfId="0" applyNumberFormat="1" applyFont="1" applyFill="1" applyAlignment="1">
      <alignment horizontal="right"/>
    </xf>
    <xf numFmtId="39" fontId="38" fillId="0" borderId="29" xfId="0" applyNumberFormat="1" applyFont="1" applyFill="1" applyBorder="1" applyAlignment="1"/>
    <xf numFmtId="0" fontId="50" fillId="0" borderId="27" xfId="0" applyNumberFormat="1" applyFont="1" applyFill="1" applyBorder="1" applyAlignment="1"/>
    <xf numFmtId="39" fontId="50" fillId="0" borderId="27" xfId="0" applyNumberFormat="1" applyFont="1" applyFill="1" applyBorder="1" applyAlignment="1"/>
    <xf numFmtId="0" fontId="50" fillId="0" borderId="0" xfId="0" applyNumberFormat="1" applyFont="1" applyFill="1" applyBorder="1" applyAlignment="1"/>
    <xf numFmtId="0" fontId="51" fillId="0" borderId="0" xfId="0" applyNumberFormat="1" applyFont="1" applyFill="1" applyAlignment="1">
      <alignment horizontal="right"/>
    </xf>
    <xf numFmtId="0" fontId="54" fillId="0" borderId="0" xfId="0" applyNumberFormat="1" applyFont="1" applyFill="1" applyAlignment="1">
      <alignment horizontal="center" wrapText="1"/>
    </xf>
    <xf numFmtId="0" fontId="55" fillId="10" borderId="30" xfId="3" applyNumberFormat="1" applyFont="1" applyFill="1" applyBorder="1" applyAlignment="1">
      <alignment horizontal="left"/>
    </xf>
    <xf numFmtId="0" fontId="55" fillId="10" borderId="31" xfId="3" applyNumberFormat="1" applyFont="1" applyFill="1" applyBorder="1" applyAlignment="1">
      <alignment horizontal="right"/>
    </xf>
    <xf numFmtId="0" fontId="55" fillId="10" borderId="32" xfId="3" applyNumberFormat="1" applyFont="1" applyFill="1" applyBorder="1" applyAlignment="1">
      <alignment horizontal="right"/>
    </xf>
    <xf numFmtId="0" fontId="56" fillId="0" borderId="0" xfId="3" applyFont="1"/>
    <xf numFmtId="0" fontId="57" fillId="10" borderId="33" xfId="3" applyNumberFormat="1" applyFont="1" applyFill="1" applyBorder="1" applyAlignment="1"/>
    <xf numFmtId="169" fontId="5" fillId="10" borderId="0" xfId="9" applyNumberFormat="1" applyFont="1" applyFill="1" applyBorder="1"/>
    <xf numFmtId="169" fontId="57" fillId="10" borderId="34" xfId="9" applyNumberFormat="1" applyFont="1" applyFill="1" applyBorder="1" applyAlignment="1"/>
    <xf numFmtId="169" fontId="57" fillId="10" borderId="0" xfId="9" applyNumberFormat="1" applyFont="1" applyFill="1" applyBorder="1" applyAlignment="1"/>
    <xf numFmtId="0" fontId="55" fillId="10" borderId="33" xfId="3" applyNumberFormat="1" applyFont="1" applyFill="1" applyBorder="1" applyAlignment="1">
      <alignment horizontal="left"/>
    </xf>
    <xf numFmtId="169" fontId="55" fillId="10" borderId="0" xfId="9" applyNumberFormat="1" applyFont="1" applyFill="1" applyBorder="1" applyAlignment="1">
      <alignment horizontal="right"/>
    </xf>
    <xf numFmtId="169" fontId="55" fillId="10" borderId="34" xfId="9" applyNumberFormat="1" applyFont="1" applyFill="1" applyBorder="1" applyAlignment="1">
      <alignment horizontal="right"/>
    </xf>
    <xf numFmtId="0" fontId="55" fillId="10" borderId="33" xfId="3" applyNumberFormat="1" applyFont="1" applyFill="1" applyBorder="1" applyAlignment="1">
      <alignment horizontal="right"/>
    </xf>
    <xf numFmtId="169" fontId="57" fillId="10" borderId="0" xfId="9" applyNumberFormat="1" applyFont="1" applyFill="1" applyBorder="1" applyAlignment="1">
      <alignment horizontal="right"/>
    </xf>
    <xf numFmtId="169" fontId="57" fillId="10" borderId="34" xfId="9" applyNumberFormat="1" applyFont="1" applyFill="1" applyBorder="1" applyAlignment="1">
      <alignment horizontal="right"/>
    </xf>
    <xf numFmtId="169" fontId="55" fillId="10" borderId="0" xfId="9" applyNumberFormat="1" applyFont="1" applyFill="1" applyBorder="1"/>
    <xf numFmtId="169" fontId="57" fillId="10" borderId="0" xfId="9" applyNumberFormat="1" applyFont="1" applyFill="1" applyBorder="1" applyAlignment="1">
      <alignment horizontal="center"/>
    </xf>
    <xf numFmtId="0" fontId="55" fillId="10" borderId="33" xfId="3" applyNumberFormat="1" applyFont="1" applyFill="1" applyBorder="1" applyAlignment="1"/>
    <xf numFmtId="0" fontId="57" fillId="10" borderId="34" xfId="3" applyNumberFormat="1" applyFont="1" applyFill="1" applyBorder="1" applyAlignment="1">
      <alignment horizontal="center"/>
    </xf>
    <xf numFmtId="0" fontId="55" fillId="10" borderId="0" xfId="3" applyNumberFormat="1" applyFont="1" applyFill="1" applyBorder="1" applyAlignment="1"/>
    <xf numFmtId="0" fontId="57" fillId="10" borderId="0" xfId="3" applyNumberFormat="1" applyFont="1" applyFill="1" applyBorder="1" applyAlignment="1">
      <alignment horizontal="fill"/>
    </xf>
    <xf numFmtId="0" fontId="57" fillId="10" borderId="34" xfId="3" applyNumberFormat="1" applyFont="1" applyFill="1" applyBorder="1" applyAlignment="1">
      <alignment horizontal="fill"/>
    </xf>
    <xf numFmtId="10" fontId="57" fillId="10" borderId="0" xfId="3" applyNumberFormat="1" applyFont="1" applyFill="1" applyBorder="1" applyAlignment="1"/>
    <xf numFmtId="10" fontId="57" fillId="10" borderId="34" xfId="3" applyNumberFormat="1" applyFont="1" applyFill="1" applyBorder="1" applyAlignment="1"/>
    <xf numFmtId="0" fontId="57" fillId="10" borderId="35" xfId="3" applyNumberFormat="1" applyFont="1" applyFill="1" applyBorder="1" applyAlignment="1"/>
    <xf numFmtId="10" fontId="57" fillId="10" borderId="18" xfId="3" applyNumberFormat="1" applyFont="1" applyFill="1" applyBorder="1" applyAlignment="1"/>
    <xf numFmtId="10" fontId="57" fillId="10" borderId="36" xfId="3" applyNumberFormat="1" applyFont="1" applyFill="1" applyBorder="1" applyAlignment="1"/>
    <xf numFmtId="0" fontId="9" fillId="0" borderId="20" xfId="0" applyFont="1" applyBorder="1"/>
    <xf numFmtId="43" fontId="0" fillId="0" borderId="20" xfId="1" applyFont="1" applyBorder="1"/>
    <xf numFmtId="43" fontId="34" fillId="0" borderId="20" xfId="1" applyFont="1" applyBorder="1"/>
    <xf numFmtId="43" fontId="0" fillId="0" borderId="20" xfId="1" applyFont="1" applyFill="1" applyBorder="1"/>
    <xf numFmtId="44" fontId="0" fillId="0" borderId="20" xfId="0" applyNumberFormat="1" applyBorder="1"/>
    <xf numFmtId="44" fontId="9" fillId="0" borderId="20" xfId="0" applyNumberFormat="1" applyFont="1" applyBorder="1"/>
    <xf numFmtId="43" fontId="9" fillId="0" borderId="20" xfId="0" applyNumberFormat="1" applyFont="1" applyBorder="1"/>
    <xf numFmtId="43" fontId="0" fillId="0" borderId="0" xfId="0" applyNumberFormat="1"/>
    <xf numFmtId="0" fontId="0" fillId="0" borderId="0" xfId="0" applyFill="1" applyBorder="1"/>
    <xf numFmtId="0" fontId="0" fillId="0" borderId="0" xfId="0" applyFill="1" applyBorder="1" applyAlignment="1">
      <alignment horizontal="center"/>
    </xf>
    <xf numFmtId="0" fontId="5" fillId="0" borderId="0" xfId="0" applyFont="1" applyFill="1" applyBorder="1" applyAlignment="1">
      <alignment horizontal="center"/>
    </xf>
    <xf numFmtId="14" fontId="0" fillId="0" borderId="0" xfId="0" applyNumberFormat="1" applyFill="1" applyBorder="1" applyAlignment="1">
      <alignment horizontal="center"/>
    </xf>
    <xf numFmtId="49" fontId="5" fillId="0" borderId="0" xfId="0" applyNumberFormat="1" applyFont="1" applyFill="1" applyBorder="1" applyAlignment="1">
      <alignment horizontal="center"/>
    </xf>
    <xf numFmtId="44" fontId="9" fillId="0" borderId="0" xfId="0" applyNumberFormat="1" applyFont="1"/>
    <xf numFmtId="43" fontId="0" fillId="0" borderId="0" xfId="1" applyFont="1" applyBorder="1"/>
    <xf numFmtId="44" fontId="0" fillId="0" borderId="20" xfId="2" applyFont="1" applyBorder="1"/>
    <xf numFmtId="40" fontId="0" fillId="0" borderId="0" xfId="1" applyNumberFormat="1" applyFont="1"/>
    <xf numFmtId="166" fontId="0" fillId="0" borderId="0" xfId="0" applyNumberFormat="1"/>
    <xf numFmtId="40" fontId="0" fillId="0" borderId="0" xfId="0" applyNumberFormat="1"/>
    <xf numFmtId="0" fontId="0" fillId="13" borderId="0" xfId="0" applyFill="1"/>
    <xf numFmtId="43" fontId="0" fillId="13" borderId="0" xfId="0" applyNumberFormat="1" applyFill="1"/>
    <xf numFmtId="0" fontId="60" fillId="0" borderId="0" xfId="0" applyFont="1"/>
    <xf numFmtId="14" fontId="0" fillId="0" borderId="0" xfId="0" applyNumberFormat="1"/>
    <xf numFmtId="0" fontId="0" fillId="7" borderId="20" xfId="0" applyFill="1" applyBorder="1" applyAlignment="1">
      <alignment horizontal="center"/>
    </xf>
    <xf numFmtId="0" fontId="0" fillId="7" borderId="20" xfId="0" applyFill="1" applyBorder="1" applyAlignment="1">
      <alignment horizontal="center" wrapText="1"/>
    </xf>
    <xf numFmtId="4" fontId="0" fillId="7" borderId="20" xfId="0" applyNumberFormat="1" applyFill="1" applyBorder="1" applyAlignment="1">
      <alignment horizontal="center"/>
    </xf>
    <xf numFmtId="4" fontId="0" fillId="7" borderId="20" xfId="0" applyNumberFormat="1" applyFill="1" applyBorder="1" applyAlignment="1">
      <alignment horizontal="center" wrapText="1"/>
    </xf>
    <xf numFmtId="0" fontId="4" fillId="0" borderId="37" xfId="0" applyFont="1" applyBorder="1" applyAlignment="1">
      <alignment horizontal="center"/>
    </xf>
    <xf numFmtId="0" fontId="4" fillId="0" borderId="37" xfId="0" applyFont="1" applyBorder="1"/>
    <xf numFmtId="4" fontId="4" fillId="0" borderId="37" xfId="0" applyNumberFormat="1" applyFont="1" applyBorder="1"/>
    <xf numFmtId="0" fontId="61" fillId="0" borderId="5" xfId="0" applyFont="1" applyBorder="1"/>
    <xf numFmtId="0" fontId="61" fillId="0" borderId="5" xfId="0" applyFont="1" applyBorder="1" applyAlignment="1">
      <alignment horizontal="center"/>
    </xf>
    <xf numFmtId="4" fontId="61" fillId="0" borderId="5" xfId="0" applyNumberFormat="1" applyFont="1" applyBorder="1"/>
    <xf numFmtId="0" fontId="61" fillId="0" borderId="6" xfId="0" applyFont="1" applyBorder="1"/>
    <xf numFmtId="0" fontId="61" fillId="0" borderId="6" xfId="0" applyFont="1" applyBorder="1" applyAlignment="1">
      <alignment horizontal="center"/>
    </xf>
    <xf numFmtId="4" fontId="61" fillId="0" borderId="6" xfId="0" applyNumberFormat="1" applyFont="1" applyBorder="1"/>
    <xf numFmtId="0" fontId="4" fillId="0" borderId="5" xfId="0" applyFont="1" applyBorder="1" applyAlignment="1">
      <alignment horizontal="center"/>
    </xf>
    <xf numFmtId="0" fontId="4" fillId="0" borderId="5" xfId="0" applyFont="1" applyBorder="1"/>
    <xf numFmtId="4" fontId="4" fillId="0" borderId="5" xfId="0" applyNumberFormat="1" applyFont="1" applyBorder="1"/>
    <xf numFmtId="0" fontId="0" fillId="7" borderId="0" xfId="0" applyFill="1"/>
    <xf numFmtId="0" fontId="62" fillId="7" borderId="0" xfId="0" applyFont="1" applyFill="1"/>
    <xf numFmtId="0" fontId="62" fillId="7" borderId="0" xfId="0" applyFont="1" applyFill="1" applyAlignment="1">
      <alignment horizontal="center"/>
    </xf>
    <xf numFmtId="4" fontId="62" fillId="7" borderId="0" xfId="0" applyNumberFormat="1" applyFont="1" applyFill="1"/>
    <xf numFmtId="0" fontId="63" fillId="7" borderId="0" xfId="0" applyFont="1" applyFill="1"/>
    <xf numFmtId="4" fontId="63" fillId="7" borderId="38" xfId="0" applyNumberFormat="1" applyFont="1" applyFill="1" applyBorder="1"/>
    <xf numFmtId="0" fontId="64" fillId="0" borderId="0" xfId="0" applyFont="1"/>
    <xf numFmtId="10" fontId="39" fillId="10" borderId="41" xfId="0" applyNumberFormat="1" applyFont="1" applyFill="1" applyBorder="1" applyAlignment="1">
      <alignment horizontal="fill"/>
    </xf>
    <xf numFmtId="39" fontId="43" fillId="0" borderId="39" xfId="7" applyNumberFormat="1" applyFont="1" applyFill="1" applyBorder="1" applyAlignment="1"/>
    <xf numFmtId="39" fontId="43" fillId="0" borderId="40" xfId="7" applyNumberFormat="1" applyFont="1" applyFill="1" applyBorder="1" applyAlignment="1"/>
    <xf numFmtId="39" fontId="43" fillId="0" borderId="41" xfId="7" applyNumberFormat="1" applyFont="1" applyFill="1" applyBorder="1" applyAlignment="1"/>
    <xf numFmtId="39" fontId="39" fillId="4" borderId="0" xfId="0" applyNumberFormat="1" applyFont="1" applyFill="1" applyBorder="1"/>
    <xf numFmtId="0" fontId="39" fillId="14" borderId="22" xfId="0" applyNumberFormat="1" applyFont="1" applyFill="1" applyBorder="1" applyAlignment="1">
      <alignment horizontal="center"/>
    </xf>
    <xf numFmtId="39" fontId="39" fillId="0" borderId="40" xfId="0" applyNumberFormat="1" applyFont="1" applyFill="1" applyBorder="1"/>
    <xf numFmtId="39" fontId="38" fillId="0" borderId="39" xfId="0" applyNumberFormat="1" applyFont="1" applyFill="1" applyBorder="1"/>
    <xf numFmtId="39" fontId="38" fillId="4" borderId="40" xfId="0" applyNumberFormat="1" applyFont="1" applyFill="1" applyBorder="1"/>
    <xf numFmtId="39" fontId="38" fillId="0" borderId="40" xfId="0" applyNumberFormat="1" applyFont="1" applyFill="1" applyBorder="1"/>
    <xf numFmtId="39" fontId="38" fillId="0" borderId="41" xfId="0" applyNumberFormat="1" applyFont="1" applyFill="1" applyBorder="1" applyAlignment="1"/>
    <xf numFmtId="39" fontId="38" fillId="0" borderId="39" xfId="0" applyNumberFormat="1" applyFont="1" applyFill="1" applyBorder="1" applyAlignment="1"/>
    <xf numFmtId="39" fontId="38" fillId="0" borderId="40" xfId="0" applyNumberFormat="1" applyFont="1" applyFill="1" applyBorder="1" applyAlignment="1"/>
    <xf numFmtId="39" fontId="39" fillId="11" borderId="0" xfId="0" applyNumberFormat="1" applyFont="1" applyFill="1" applyAlignment="1">
      <alignment horizontal="center"/>
    </xf>
    <xf numFmtId="10" fontId="57" fillId="10" borderId="0" xfId="10" applyNumberFormat="1" applyFont="1" applyFill="1" applyBorder="1" applyAlignment="1"/>
    <xf numFmtId="10" fontId="57" fillId="10" borderId="34" xfId="10" applyNumberFormat="1" applyFont="1" applyFill="1" applyBorder="1" applyAlignment="1"/>
    <xf numFmtId="10" fontId="38" fillId="10" borderId="39" xfId="0" applyNumberFormat="1" applyFont="1" applyFill="1" applyBorder="1" applyAlignment="1">
      <alignment horizontal="center"/>
    </xf>
    <xf numFmtId="10" fontId="38" fillId="10" borderId="40" xfId="0" applyNumberFormat="1" applyFont="1" applyFill="1" applyBorder="1" applyAlignment="1">
      <alignment horizontal="center"/>
    </xf>
    <xf numFmtId="10" fontId="38" fillId="8" borderId="39" xfId="0" applyNumberFormat="1" applyFont="1" applyFill="1" applyBorder="1" applyAlignment="1">
      <alignment horizontal="center"/>
    </xf>
    <xf numFmtId="10" fontId="38" fillId="8" borderId="40" xfId="0" applyNumberFormat="1" applyFont="1" applyFill="1" applyBorder="1" applyAlignment="1">
      <alignment horizontal="center"/>
    </xf>
    <xf numFmtId="10" fontId="38" fillId="8" borderId="41" xfId="0" applyNumberFormat="1" applyFont="1" applyFill="1" applyBorder="1" applyAlignment="1">
      <alignment horizontal="center"/>
    </xf>
    <xf numFmtId="0" fontId="54" fillId="12" borderId="0" xfId="0" applyNumberFormat="1" applyFont="1" applyFill="1" applyAlignment="1">
      <alignment horizontal="center" wrapText="1"/>
    </xf>
    <xf numFmtId="14" fontId="6" fillId="0" borderId="0" xfId="0" applyNumberFormat="1" applyFont="1" applyAlignment="1">
      <alignment horizontal="left"/>
    </xf>
    <xf numFmtId="0" fontId="16" fillId="0" borderId="0" xfId="0" applyFont="1" applyAlignment="1"/>
    <xf numFmtId="0" fontId="5" fillId="0" borderId="0" xfId="0" applyFont="1" applyAlignment="1"/>
    <xf numFmtId="0" fontId="18" fillId="0" borderId="0" xfId="0" applyFont="1" applyAlignment="1"/>
    <xf numFmtId="0" fontId="17" fillId="0" borderId="0" xfId="0" applyFont="1" applyAlignment="1">
      <alignment wrapText="1"/>
    </xf>
    <xf numFmtId="0" fontId="17" fillId="0" borderId="0" xfId="0" applyFont="1" applyAlignment="1">
      <alignment horizontal="left" vertical="center"/>
    </xf>
    <xf numFmtId="0" fontId="25" fillId="0" borderId="0" xfId="0" applyFont="1" applyAlignment="1">
      <alignment horizontal="left"/>
    </xf>
    <xf numFmtId="1" fontId="20" fillId="0" borderId="0" xfId="0" applyNumberFormat="1" applyFont="1" applyAlignment="1">
      <alignment horizontal="left"/>
    </xf>
    <xf numFmtId="0" fontId="6" fillId="0" borderId="0" xfId="0" applyNumberFormat="1" applyFont="1" applyAlignment="1">
      <alignment horizontal="left"/>
    </xf>
    <xf numFmtId="0" fontId="20" fillId="0" borderId="0" xfId="0" applyFont="1" applyAlignment="1">
      <alignment horizontal="left"/>
    </xf>
    <xf numFmtId="0" fontId="22" fillId="0" borderId="0" xfId="4" applyAlignment="1" applyProtection="1">
      <alignment horizontal="left"/>
    </xf>
    <xf numFmtId="0" fontId="21" fillId="0" borderId="0" xfId="0" applyFont="1" applyAlignment="1">
      <alignment horizontal="left"/>
    </xf>
    <xf numFmtId="0" fontId="17" fillId="0" borderId="0" xfId="0" applyFont="1" applyAlignment="1">
      <alignment horizontal="center"/>
    </xf>
    <xf numFmtId="0" fontId="24" fillId="5" borderId="0" xfId="0" applyFont="1" applyFill="1" applyAlignment="1">
      <alignment horizontal="center"/>
    </xf>
    <xf numFmtId="0" fontId="0" fillId="5" borderId="0" xfId="0" applyFill="1" applyAlignment="1">
      <alignment horizontal="center"/>
    </xf>
    <xf numFmtId="0" fontId="25" fillId="0" borderId="0" xfId="0" applyFont="1" applyFill="1" applyAlignment="1"/>
    <xf numFmtId="0" fontId="26" fillId="0" borderId="0" xfId="0" applyFont="1" applyFill="1" applyAlignment="1"/>
    <xf numFmtId="0" fontId="30" fillId="6" borderId="0" xfId="0" applyFont="1" applyFill="1" applyAlignment="1">
      <alignment horizontal="center"/>
    </xf>
    <xf numFmtId="0" fontId="30" fillId="6" borderId="0" xfId="0" applyFont="1" applyFill="1" applyAlignment="1">
      <alignment horizontal="center" vertical="center" wrapText="1"/>
    </xf>
    <xf numFmtId="0" fontId="30" fillId="6" borderId="0" xfId="0" applyFont="1" applyFill="1" applyAlignment="1">
      <alignment horizontal="left" wrapText="1"/>
    </xf>
    <xf numFmtId="0" fontId="31" fillId="0" borderId="0" xfId="0" applyFont="1" applyAlignment="1"/>
    <xf numFmtId="0" fontId="31" fillId="0" borderId="0" xfId="0" applyFont="1" applyAlignment="1">
      <alignment horizontal="left" wrapText="1"/>
    </xf>
    <xf numFmtId="0" fontId="31" fillId="0" borderId="0" xfId="0" applyFont="1" applyAlignment="1">
      <alignment horizontal="left"/>
    </xf>
    <xf numFmtId="0" fontId="32" fillId="0" borderId="0" xfId="0" applyFont="1" applyAlignment="1"/>
    <xf numFmtId="0" fontId="0" fillId="0" borderId="0" xfId="0" applyAlignment="1"/>
  </cellXfs>
  <cellStyles count="11">
    <cellStyle name="Comma" xfId="1" builtinId="3"/>
    <cellStyle name="Comma 2" xfId="9"/>
    <cellStyle name="Comma 3" xfId="8"/>
    <cellStyle name="Currency" xfId="2" builtinId="4"/>
    <cellStyle name="Hyperlink" xfId="4" builtinId="8"/>
    <cellStyle name="Normal" xfId="0" builtinId="0"/>
    <cellStyle name="Normal 2" xfId="3"/>
    <cellStyle name="Normal 3" xfId="7"/>
    <cellStyle name="Normal_Bom" xfId="5"/>
    <cellStyle name="Normal_Sheet1" xfId="6"/>
    <cellStyle name="Percent 2" xfId="1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colorful3">
  <dgm:title val=""/>
  <dgm:desc val=""/>
  <dgm:catLst>
    <dgm:cat type="colorful" pri="10300"/>
  </dgm:catLst>
  <dgm:styleLbl name="node0">
    <dgm:fillClrLst meth="repeat">
      <a:schemeClr val="accent2"/>
    </dgm:fillClrLst>
    <dgm:linClrLst meth="repeat">
      <a:schemeClr val="lt1"/>
    </dgm:linClrLst>
    <dgm:effectClrLst/>
    <dgm:txLinClrLst/>
    <dgm:txFillClrLst/>
    <dgm:txEffectClrLst/>
  </dgm:styleLbl>
  <dgm:styleLbl name="node1">
    <dgm:fillClrLst>
      <a:schemeClr val="accent3"/>
      <a:schemeClr val="accent4"/>
    </dgm:fillClrLst>
    <dgm:linClrLst meth="repeat">
      <a:schemeClr val="lt1"/>
    </dgm:linClrLst>
    <dgm:effectClrLst/>
    <dgm:txLinClrLst/>
    <dgm:txFillClrLst/>
    <dgm:txEffectClrLst/>
  </dgm:styleLbl>
  <dgm:styleLbl name="alignNode1">
    <dgm:fillClrLst>
      <a:schemeClr val="accent3"/>
      <a:schemeClr val="accent4"/>
    </dgm:fillClrLst>
    <dgm:linClrLst>
      <a:schemeClr val="accent3"/>
      <a:schemeClr val="accent4"/>
    </dgm:linClrLst>
    <dgm:effectClrLst/>
    <dgm:txLinClrLst/>
    <dgm:txFillClrLst/>
    <dgm:txEffectClrLst/>
  </dgm:styleLbl>
  <dgm:styleLbl name="lnNode1">
    <dgm:fillClrLst>
      <a:schemeClr val="accent3"/>
      <a:schemeClr val="accent4"/>
    </dgm:fillClrLst>
    <dgm:linClrLst meth="repeat">
      <a:schemeClr val="lt1"/>
    </dgm:linClrLst>
    <dgm:effectClrLst/>
    <dgm:txLinClrLst/>
    <dgm:txFillClrLst/>
    <dgm:txEffectClrLst/>
  </dgm:styleLbl>
  <dgm:styleLbl name="vennNode1">
    <dgm:fillClrLst>
      <a:schemeClr val="accent3">
        <a:alpha val="50000"/>
      </a:schemeClr>
      <a:schemeClr val="accent4">
        <a:alpha val="50000"/>
      </a:schemeClr>
    </dgm:fillClrLst>
    <dgm:linClrLst meth="repeat">
      <a:schemeClr val="lt1"/>
    </dgm:linClrLst>
    <dgm:effectClrLst/>
    <dgm:txLinClrLst/>
    <dgm:txFillClrLst/>
    <dgm:txEffectClrLst/>
  </dgm:styleLbl>
  <dgm:styleLbl name="node2">
    <dgm:fillClrLst>
      <a:schemeClr val="accent4"/>
    </dgm:fillClrLst>
    <dgm:linClrLst meth="repeat">
      <a:schemeClr val="lt1"/>
    </dgm:linClrLst>
    <dgm:effectClrLst/>
    <dgm:txLinClrLst/>
    <dgm:txFillClrLst/>
    <dgm:txEffectClrLst/>
  </dgm:styleLbl>
  <dgm:styleLbl name="node3">
    <dgm:fillClrLst>
      <a:schemeClr val="accent5"/>
    </dgm:fillClrLst>
    <dgm:linClrLst meth="repeat">
      <a:schemeClr val="lt1"/>
    </dgm:linClrLst>
    <dgm:effectClrLst/>
    <dgm:txLinClrLst/>
    <dgm:txFillClrLst/>
    <dgm:txEffectClrLst/>
  </dgm:styleLbl>
  <dgm:styleLbl name="node4">
    <dgm:fillClrLst>
      <a:schemeClr val="accent6"/>
    </dgm:fillClrLst>
    <dgm:linClrLst meth="repeat">
      <a:schemeClr val="lt1"/>
    </dgm:linClrLst>
    <dgm:effectClrLst/>
    <dgm:txLinClrLst/>
    <dgm:txFillClrLst/>
    <dgm:txEffectClrLst/>
  </dgm:styleLbl>
  <dgm:styleLbl name="fgImgPlace1">
    <dgm:fillClrLst>
      <a:schemeClr val="accent3">
        <a:tint val="50000"/>
      </a:schemeClr>
      <a:schemeClr val="accent4">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3">
        <a:tint val="50000"/>
      </a:schemeClr>
      <a:schemeClr val="accent4">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3">
        <a:tint val="50000"/>
      </a:schemeClr>
      <a:schemeClr val="accent4">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3"/>
      <a:schemeClr val="accent4"/>
    </dgm:fillClrLst>
    <dgm:linClrLst meth="repeat">
      <a:schemeClr val="lt1"/>
    </dgm:linClrLst>
    <dgm:effectClrLst/>
    <dgm:txLinClrLst/>
    <dgm:txFillClrLst/>
    <dgm:txEffectClrLst/>
  </dgm:styleLbl>
  <dgm:styleLbl name="fgSibTrans2D1">
    <dgm:fillClrLst>
      <a:schemeClr val="accent3"/>
      <a:schemeClr val="accent4"/>
    </dgm:fillClrLst>
    <dgm:linClrLst meth="repeat">
      <a:schemeClr val="lt1"/>
    </dgm:linClrLst>
    <dgm:effectClrLst/>
    <dgm:txLinClrLst/>
    <dgm:txFillClrLst meth="repeat">
      <a:schemeClr val="lt1"/>
    </dgm:txFillClrLst>
    <dgm:txEffectClrLst/>
  </dgm:styleLbl>
  <dgm:styleLbl name="bgSibTrans2D1">
    <dgm:fillClrLst>
      <a:schemeClr val="accent3"/>
      <a:schemeClr val="accent4"/>
    </dgm:fillClrLst>
    <dgm:linClrLst meth="repeat">
      <a:schemeClr val="lt1"/>
    </dgm:linClrLst>
    <dgm:effectClrLst/>
    <dgm:txLinClrLst/>
    <dgm:txFillClrLst meth="repeat">
      <a:schemeClr val="lt1"/>
    </dgm:txFillClrLst>
    <dgm:txEffectClrLst/>
  </dgm:styleLbl>
  <dgm:styleLbl name="sibTrans1D1">
    <dgm:fillClrLst/>
    <dgm:linClrLst>
      <a:schemeClr val="accent3"/>
      <a:schemeClr val="accent4"/>
    </dgm:linClrLst>
    <dgm:effectClrLst/>
    <dgm:txLinClrLst/>
    <dgm:txFillClrLst meth="repeat">
      <a:schemeClr val="tx1"/>
    </dgm:txFillClrLst>
    <dgm:txEffectClrLst/>
  </dgm:styleLbl>
  <dgm:styleLbl name="callout">
    <dgm:fillClrLst meth="repeat">
      <a:schemeClr val="accent3"/>
    </dgm:fillClrLst>
    <dgm:linClrLst meth="repeat">
      <a:schemeClr val="accent3">
        <a:tint val="50000"/>
      </a:schemeClr>
    </dgm:linClrLst>
    <dgm:effectClrLst/>
    <dgm:txLinClrLst/>
    <dgm:txFillClrLst meth="repeat">
      <a:schemeClr val="tx1"/>
    </dgm:txFillClrLst>
    <dgm:txEffectClrLst/>
  </dgm:styleLbl>
  <dgm:styleLbl name="asst0">
    <dgm:fillClrLst meth="repeat">
      <a:schemeClr val="accent3"/>
    </dgm:fillClrLst>
    <dgm:linClrLst meth="repeat">
      <a:schemeClr val="lt1">
        <a:shade val="80000"/>
      </a:schemeClr>
    </dgm:linClrLst>
    <dgm:effectClrLst/>
    <dgm:txLinClrLst/>
    <dgm:txFillClrLst/>
    <dgm:txEffectClrLst/>
  </dgm:styleLbl>
  <dgm:styleLbl name="asst1">
    <dgm:fillClrLst meth="repeat">
      <a:schemeClr val="accent4"/>
    </dgm:fillClrLst>
    <dgm:linClrLst meth="repeat">
      <a:schemeClr val="lt1">
        <a:shade val="80000"/>
      </a:schemeClr>
    </dgm:linClrLst>
    <dgm:effectClrLst/>
    <dgm:txLinClrLst/>
    <dgm:txFillClrLst/>
    <dgm:txEffectClrLst/>
  </dgm:styleLbl>
  <dgm:styleLbl name="asst2">
    <dgm:fillClrLst>
      <a:schemeClr val="accent5"/>
    </dgm:fillClrLst>
    <dgm:linClrLst meth="repeat">
      <a:schemeClr val="lt1"/>
    </dgm:linClrLst>
    <dgm:effectClrLst/>
    <dgm:txLinClrLst/>
    <dgm:txFillClrLst/>
    <dgm:txEffectClrLst/>
  </dgm:styleLbl>
  <dgm:styleLbl name="asst3">
    <dgm:fillClrLst>
      <a:schemeClr val="accent6"/>
    </dgm:fillClrLst>
    <dgm:linClrLst meth="repeat">
      <a:schemeClr val="lt1"/>
    </dgm:linClrLst>
    <dgm:effectClrLst/>
    <dgm:txLinClrLst/>
    <dgm:txFillClrLst/>
    <dgm:txEffectClrLst/>
  </dgm:styleLbl>
  <dgm:styleLbl name="asst4">
    <dgm:fillClrLst>
      <a:schemeClr val="accent1"/>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3"/>
    </dgm:fillClrLst>
    <dgm:linClrLst meth="repeat">
      <a:schemeClr val="accent3"/>
    </dgm:linClrLst>
    <dgm:effectClrLst/>
    <dgm:txLinClrLst/>
    <dgm:txFillClrLst meth="repeat">
      <a:schemeClr val="tx1"/>
    </dgm:txFillClrLst>
    <dgm:txEffectClrLst/>
  </dgm:styleLbl>
  <dgm:styleLbl name="parChTrans1D2">
    <dgm:fillClrLst meth="repeat">
      <a:schemeClr val="accent2">
        <a:tint val="90000"/>
      </a:schemeClr>
    </dgm:fillClrLst>
    <dgm:linClrLst meth="repeat">
      <a:schemeClr val="accent4"/>
    </dgm:linClrLst>
    <dgm:effectClrLst/>
    <dgm:txLinClrLst/>
    <dgm:txFillClrLst meth="repeat">
      <a:schemeClr val="tx1"/>
    </dgm:txFillClrLst>
    <dgm:txEffectClrLst/>
  </dgm:styleLbl>
  <dgm:styleLbl name="parChTrans1D3">
    <dgm:fillClrLst meth="repeat">
      <a:schemeClr val="accent2">
        <a:tint val="70000"/>
      </a:schemeClr>
    </dgm:fillClrLst>
    <dgm:linClrLst meth="repeat">
      <a:schemeClr val="accent5"/>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6"/>
    </dgm:linClrLst>
    <dgm:effectClrLst/>
    <dgm:txLinClrLst/>
    <dgm:txFillClrLst meth="repeat">
      <a:schemeClr val="tx1"/>
    </dgm:txFillClrLst>
    <dgm:txEffectClrLst/>
  </dgm:styleLbl>
  <dgm:styleLbl name="f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conF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align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solidFgAcc1">
    <dgm:fillClrLst meth="repeat">
      <a:schemeClr val="lt1"/>
    </dgm:fillClrLst>
    <dgm:linClrLst>
      <a:schemeClr val="accent3"/>
      <a:schemeClr val="accent4"/>
    </dgm:linClrLst>
    <dgm:effectClrLst/>
    <dgm:txLinClrLst/>
    <dgm:txFillClrLst meth="repeat">
      <a:schemeClr val="dk1"/>
    </dgm:txFillClrLst>
    <dgm:txEffectClrLst/>
  </dgm:styleLbl>
  <dgm:styleLbl name="solidAlignAcc1">
    <dgm:fillClrLst meth="repeat">
      <a:schemeClr val="lt1"/>
    </dgm:fillClrLst>
    <dgm:linClrLst>
      <a:schemeClr val="accent3"/>
      <a:schemeClr val="accent4"/>
    </dgm:linClrLst>
    <dgm:effectClrLst/>
    <dgm:txLinClrLst/>
    <dgm:txFillClrLst meth="repeat">
      <a:schemeClr val="dk1"/>
    </dgm:txFillClrLst>
    <dgm:txEffectClrLst/>
  </dgm:styleLbl>
  <dgm:styleLbl name="solidBgAcc1">
    <dgm:fillClrLst meth="repeat">
      <a:schemeClr val="lt1"/>
    </dgm:fillClrLst>
    <dgm:linClrLst>
      <a:schemeClr val="accent3"/>
      <a:schemeClr val="accent4"/>
    </dgm:linClrLst>
    <dgm:effectClrLst/>
    <dgm:txLinClrLst/>
    <dgm:txFillClrLst meth="repeat">
      <a:schemeClr val="dk1"/>
    </dgm:txFillClrLst>
    <dgm:txEffectClrLst/>
  </dgm:styleLbl>
  <dgm:styleLbl name="fg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align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bg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2"/>
    </dgm:linClrLst>
    <dgm:effectClrLst/>
    <dgm:txLinClrLst/>
    <dgm:txFillClrLst meth="repeat">
      <a:schemeClr val="dk1"/>
    </dgm:txFillClrLst>
    <dgm:txEffectClrLst/>
  </dgm:styleLbl>
  <dgm:styleLbl name="fgAcc2">
    <dgm:fillClrLst meth="repeat">
      <a:schemeClr val="lt1">
        <a:alpha val="90000"/>
      </a:schemeClr>
    </dgm:fillClrLst>
    <dgm:linClrLst>
      <a:schemeClr val="accent4"/>
    </dgm:linClrLst>
    <dgm:effectClrLst/>
    <dgm:txLinClrLst/>
    <dgm:txFillClrLst meth="repeat">
      <a:schemeClr val="dk1"/>
    </dgm:txFillClrLst>
    <dgm:txEffectClrLst/>
  </dgm:styleLbl>
  <dgm:styleLbl name="fgAcc3">
    <dgm:fillClrLst meth="repeat">
      <a:schemeClr val="lt1">
        <a:alpha val="90000"/>
      </a:schemeClr>
    </dgm:fillClrLst>
    <dgm:linClrLst>
      <a:schemeClr val="accent5"/>
    </dgm:linClrLst>
    <dgm:effectClrLst/>
    <dgm:txLinClrLst/>
    <dgm:txFillClrLst meth="repeat">
      <a:schemeClr val="dk1"/>
    </dgm:txFillClrLst>
    <dgm:txEffectClrLst/>
  </dgm:styleLbl>
  <dgm:styleLbl name="fgAcc4">
    <dgm:fillClrLst meth="repeat">
      <a:schemeClr val="lt1">
        <a:alpha val="90000"/>
      </a:schemeClr>
    </dgm:fillClrLst>
    <dgm:linClrLst>
      <a:schemeClr val="accent6"/>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3">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4306E0C-2953-4D4B-81A0-9977C2E9A5B3}" type="doc">
      <dgm:prSet loTypeId="urn:microsoft.com/office/officeart/2005/8/layout/vList5" loCatId="list" qsTypeId="urn:microsoft.com/office/officeart/2005/8/quickstyle/simple1" qsCatId="simple" csTypeId="urn:microsoft.com/office/officeart/2005/8/colors/colorful3" csCatId="colorful" phldr="1"/>
      <dgm:spPr/>
      <dgm:t>
        <a:bodyPr/>
        <a:lstStyle/>
        <a:p>
          <a:endParaRPr lang="en-US"/>
        </a:p>
      </dgm:t>
    </dgm:pt>
    <dgm:pt modelId="{5CBDC071-6EB0-4356-B56E-10B101A461C4}">
      <dgm:prSet phldrT="[Text]"/>
      <dgm:spPr/>
      <dgm:t>
        <a:bodyPr/>
        <a:lstStyle/>
        <a:p>
          <a:r>
            <a:rPr lang="en-US"/>
            <a:t>Desktop w/Core CAL</a:t>
          </a:r>
        </a:p>
      </dgm:t>
    </dgm:pt>
    <dgm:pt modelId="{B21C765B-74F7-4277-8DC7-47EBB0660ACC}" type="parTrans" cxnId="{95F7C59F-0A87-4778-852C-74EE92ADCBCB}">
      <dgm:prSet/>
      <dgm:spPr/>
      <dgm:t>
        <a:bodyPr/>
        <a:lstStyle/>
        <a:p>
          <a:endParaRPr lang="en-US"/>
        </a:p>
      </dgm:t>
    </dgm:pt>
    <dgm:pt modelId="{02DBA7B3-41D0-4B9D-B37B-CABB5538F343}" type="sibTrans" cxnId="{95F7C59F-0A87-4778-852C-74EE92ADCBCB}">
      <dgm:prSet/>
      <dgm:spPr/>
      <dgm:t>
        <a:bodyPr/>
        <a:lstStyle/>
        <a:p>
          <a:endParaRPr lang="en-US"/>
        </a:p>
      </dgm:t>
    </dgm:pt>
    <dgm:pt modelId="{77923EAC-C574-472B-AD44-5B2E63CEF320}">
      <dgm:prSet phldrT="[Text]" custT="1"/>
      <dgm:spPr/>
      <dgm:t>
        <a:bodyPr/>
        <a:lstStyle/>
        <a:p>
          <a:r>
            <a:rPr lang="en-US" sz="1000"/>
            <a:t>Office Professional Plus</a:t>
          </a:r>
        </a:p>
      </dgm:t>
    </dgm:pt>
    <dgm:pt modelId="{8E338D51-4078-4B08-BD10-7494425F3A85}" type="parTrans" cxnId="{4B25D6E3-EE5E-49D2-ABBE-FE157C59026C}">
      <dgm:prSet/>
      <dgm:spPr/>
      <dgm:t>
        <a:bodyPr/>
        <a:lstStyle/>
        <a:p>
          <a:endParaRPr lang="en-US"/>
        </a:p>
      </dgm:t>
    </dgm:pt>
    <dgm:pt modelId="{3E4F3388-5E5E-47C1-A7FE-0F97409A2357}" type="sibTrans" cxnId="{4B25D6E3-EE5E-49D2-ABBE-FE157C59026C}">
      <dgm:prSet/>
      <dgm:spPr/>
      <dgm:t>
        <a:bodyPr/>
        <a:lstStyle/>
        <a:p>
          <a:endParaRPr lang="en-US"/>
        </a:p>
      </dgm:t>
    </dgm:pt>
    <dgm:pt modelId="{B4434407-8B13-4C4C-98C2-AB4A16585BF3}">
      <dgm:prSet phldrT="[Text]" custT="1"/>
      <dgm:spPr/>
      <dgm:t>
        <a:bodyPr/>
        <a:lstStyle/>
        <a:p>
          <a:r>
            <a:rPr lang="en-US" sz="1000"/>
            <a:t>Windows Upgrade or Windows Upgrade with MDOP</a:t>
          </a:r>
        </a:p>
      </dgm:t>
    </dgm:pt>
    <dgm:pt modelId="{2CF96C96-95E9-44BE-8106-1F01155BA026}" type="parTrans" cxnId="{66E6179C-9CA7-4494-8E1C-4EE64705F5C8}">
      <dgm:prSet/>
      <dgm:spPr/>
      <dgm:t>
        <a:bodyPr/>
        <a:lstStyle/>
        <a:p>
          <a:endParaRPr lang="en-US"/>
        </a:p>
      </dgm:t>
    </dgm:pt>
    <dgm:pt modelId="{6AE5B030-4C5C-4EBE-BC51-15B520107D67}" type="sibTrans" cxnId="{66E6179C-9CA7-4494-8E1C-4EE64705F5C8}">
      <dgm:prSet/>
      <dgm:spPr/>
      <dgm:t>
        <a:bodyPr/>
        <a:lstStyle/>
        <a:p>
          <a:endParaRPr lang="en-US"/>
        </a:p>
      </dgm:t>
    </dgm:pt>
    <dgm:pt modelId="{B06DBEBE-0F40-488E-B796-958EDF3586EF}">
      <dgm:prSet phldrT="[Text]"/>
      <dgm:spPr/>
      <dgm:t>
        <a:bodyPr/>
        <a:lstStyle/>
        <a:p>
          <a:r>
            <a:rPr lang="en-US"/>
            <a:t>Desktop w/ Enterprise CAL</a:t>
          </a:r>
        </a:p>
      </dgm:t>
    </dgm:pt>
    <dgm:pt modelId="{A85FDAB4-1BA1-4FD9-A3B6-BB4D531F8F2C}" type="parTrans" cxnId="{E08D9B4D-B79B-4483-9726-3F87484DC737}">
      <dgm:prSet/>
      <dgm:spPr/>
      <dgm:t>
        <a:bodyPr/>
        <a:lstStyle/>
        <a:p>
          <a:endParaRPr lang="en-US"/>
        </a:p>
      </dgm:t>
    </dgm:pt>
    <dgm:pt modelId="{2BB4F00C-F157-4871-A0FF-E436AE0FA76F}" type="sibTrans" cxnId="{E08D9B4D-B79B-4483-9726-3F87484DC737}">
      <dgm:prSet/>
      <dgm:spPr/>
      <dgm:t>
        <a:bodyPr/>
        <a:lstStyle/>
        <a:p>
          <a:endParaRPr lang="en-US"/>
        </a:p>
      </dgm:t>
    </dgm:pt>
    <dgm:pt modelId="{93383380-B66C-4233-8B8D-FDD87ADE5932}">
      <dgm:prSet phldrT="[Text]" custT="1"/>
      <dgm:spPr/>
      <dgm:t>
        <a:bodyPr/>
        <a:lstStyle/>
        <a:p>
          <a:r>
            <a:rPr lang="en-US" sz="1000"/>
            <a:t>Office Professional Plus</a:t>
          </a:r>
        </a:p>
      </dgm:t>
    </dgm:pt>
    <dgm:pt modelId="{4798283C-EFF2-4462-A305-FB883484FD64}" type="parTrans" cxnId="{0EEFC9E1-DDF9-47CA-B1A1-586CB612793E}">
      <dgm:prSet/>
      <dgm:spPr/>
      <dgm:t>
        <a:bodyPr/>
        <a:lstStyle/>
        <a:p>
          <a:endParaRPr lang="en-US"/>
        </a:p>
      </dgm:t>
    </dgm:pt>
    <dgm:pt modelId="{CF77DFF9-5D34-43DB-8364-D83CAD83F0DB}" type="sibTrans" cxnId="{0EEFC9E1-DDF9-47CA-B1A1-586CB612793E}">
      <dgm:prSet/>
      <dgm:spPr/>
      <dgm:t>
        <a:bodyPr/>
        <a:lstStyle/>
        <a:p>
          <a:endParaRPr lang="en-US"/>
        </a:p>
      </dgm:t>
    </dgm:pt>
    <dgm:pt modelId="{D4858DF4-E2C4-418C-BCEC-82EA1B04D267}">
      <dgm:prSet phldrT="[Text]" custT="1"/>
      <dgm:spPr/>
      <dgm:t>
        <a:bodyPr/>
        <a:lstStyle/>
        <a:p>
          <a:r>
            <a:rPr lang="en-US" sz="1000"/>
            <a:t>Windows Upgrade or Windows Upgrade with MDOP</a:t>
          </a:r>
        </a:p>
      </dgm:t>
    </dgm:pt>
    <dgm:pt modelId="{0F80DB06-15C4-4DD8-854D-A78B4A6D014C}" type="parTrans" cxnId="{004E7E14-64B4-4341-AA1A-62D3C8CDA598}">
      <dgm:prSet/>
      <dgm:spPr/>
      <dgm:t>
        <a:bodyPr/>
        <a:lstStyle/>
        <a:p>
          <a:endParaRPr lang="en-US"/>
        </a:p>
      </dgm:t>
    </dgm:pt>
    <dgm:pt modelId="{6EBCA211-F30E-40F4-8D0A-31F2D9488E7B}" type="sibTrans" cxnId="{004E7E14-64B4-4341-AA1A-62D3C8CDA598}">
      <dgm:prSet/>
      <dgm:spPr/>
      <dgm:t>
        <a:bodyPr/>
        <a:lstStyle/>
        <a:p>
          <a:endParaRPr lang="en-US"/>
        </a:p>
      </dgm:t>
    </dgm:pt>
    <dgm:pt modelId="{79AD33BB-DDEB-4D19-9463-4A3F80C572CB}">
      <dgm:prSet phldrT="[Text]"/>
      <dgm:spPr/>
      <dgm:t>
        <a:bodyPr/>
        <a:lstStyle/>
        <a:p>
          <a:r>
            <a:rPr lang="en-US"/>
            <a:t>Core CAL</a:t>
          </a:r>
        </a:p>
      </dgm:t>
    </dgm:pt>
    <dgm:pt modelId="{65418429-E365-465E-9D6C-67955C58DAF6}" type="parTrans" cxnId="{3DB3D192-FD5A-443C-9C3F-9E7D37F674B4}">
      <dgm:prSet/>
      <dgm:spPr/>
      <dgm:t>
        <a:bodyPr/>
        <a:lstStyle/>
        <a:p>
          <a:endParaRPr lang="en-US"/>
        </a:p>
      </dgm:t>
    </dgm:pt>
    <dgm:pt modelId="{4BBD51F1-ECB5-4F56-8A67-0CD67D4C4CAB}" type="sibTrans" cxnId="{3DB3D192-FD5A-443C-9C3F-9E7D37F674B4}">
      <dgm:prSet/>
      <dgm:spPr/>
      <dgm:t>
        <a:bodyPr/>
        <a:lstStyle/>
        <a:p>
          <a:endParaRPr lang="en-US"/>
        </a:p>
      </dgm:t>
    </dgm:pt>
    <dgm:pt modelId="{D631100C-DE33-4A0B-9437-BFC18BD14527}">
      <dgm:prSet phldrT="[Text]" custT="1"/>
      <dgm:spPr/>
      <dgm:t>
        <a:bodyPr/>
        <a:lstStyle/>
        <a:p>
          <a:r>
            <a:rPr lang="en-US" sz="1000"/>
            <a:t>Windows Server CAL				Lync Server Standard CAL</a:t>
          </a:r>
        </a:p>
      </dgm:t>
    </dgm:pt>
    <dgm:pt modelId="{D78C7D2F-9BCE-4B1B-8D95-D63086AB684C}" type="parTrans" cxnId="{07C38A06-B0B3-4522-B137-0BA598120B9A}">
      <dgm:prSet/>
      <dgm:spPr/>
      <dgm:t>
        <a:bodyPr/>
        <a:lstStyle/>
        <a:p>
          <a:endParaRPr lang="en-US"/>
        </a:p>
      </dgm:t>
    </dgm:pt>
    <dgm:pt modelId="{8B468B92-1886-4E6B-B8DA-5CF43CC71FFE}" type="sibTrans" cxnId="{07C38A06-B0B3-4522-B137-0BA598120B9A}">
      <dgm:prSet/>
      <dgm:spPr/>
      <dgm:t>
        <a:bodyPr/>
        <a:lstStyle/>
        <a:p>
          <a:endParaRPr lang="en-US"/>
        </a:p>
      </dgm:t>
    </dgm:pt>
    <dgm:pt modelId="{DFA776C9-EE63-40BF-8C9D-DE91D871DBDF}">
      <dgm:prSet phldrT="[Text]" custT="1"/>
      <dgm:spPr/>
      <dgm:t>
        <a:bodyPr/>
        <a:lstStyle/>
        <a:p>
          <a:r>
            <a:rPr lang="en-US" sz="1000"/>
            <a:t>Exchange Server Standard CAL			ForeFront Endpoint Protection</a:t>
          </a:r>
        </a:p>
      </dgm:t>
    </dgm:pt>
    <dgm:pt modelId="{E969768A-6EAA-44DD-9050-FE197D3E6F85}" type="parTrans" cxnId="{1C4B2B59-07D0-4DE3-B2BC-B013B84FB01C}">
      <dgm:prSet/>
      <dgm:spPr/>
      <dgm:t>
        <a:bodyPr/>
        <a:lstStyle/>
        <a:p>
          <a:endParaRPr lang="en-US"/>
        </a:p>
      </dgm:t>
    </dgm:pt>
    <dgm:pt modelId="{FAC1C211-9EEB-4BD1-BE64-4C5507766662}" type="sibTrans" cxnId="{1C4B2B59-07D0-4DE3-B2BC-B013B84FB01C}">
      <dgm:prSet/>
      <dgm:spPr/>
      <dgm:t>
        <a:bodyPr/>
        <a:lstStyle/>
        <a:p>
          <a:endParaRPr lang="en-US"/>
        </a:p>
      </dgm:t>
    </dgm:pt>
    <dgm:pt modelId="{87D0278F-BDBB-4A04-AD53-A4053B7B67DA}">
      <dgm:prSet phldrT="[Text]" custT="1"/>
      <dgm:spPr/>
      <dgm:t>
        <a:bodyPr/>
        <a:lstStyle/>
        <a:p>
          <a:r>
            <a:rPr lang="en-US" sz="1000"/>
            <a:t>Core CAL</a:t>
          </a:r>
        </a:p>
      </dgm:t>
    </dgm:pt>
    <dgm:pt modelId="{4965390D-D7C6-41E3-B9F2-4B512C0A9FF3}" type="parTrans" cxnId="{CFA6167C-4DAB-4242-8B7F-1821655BE2B3}">
      <dgm:prSet/>
      <dgm:spPr/>
      <dgm:t>
        <a:bodyPr/>
        <a:lstStyle/>
        <a:p>
          <a:endParaRPr lang="en-US"/>
        </a:p>
      </dgm:t>
    </dgm:pt>
    <dgm:pt modelId="{52441E5C-47E3-4D2D-9EA1-14FB24FD8916}" type="sibTrans" cxnId="{CFA6167C-4DAB-4242-8B7F-1821655BE2B3}">
      <dgm:prSet/>
      <dgm:spPr/>
      <dgm:t>
        <a:bodyPr/>
        <a:lstStyle/>
        <a:p>
          <a:endParaRPr lang="en-US"/>
        </a:p>
      </dgm:t>
    </dgm:pt>
    <dgm:pt modelId="{463999ED-BD0F-4730-9515-AEBD507022C2}">
      <dgm:prSet phldrT="[Text]" custT="1"/>
      <dgm:spPr/>
      <dgm:t>
        <a:bodyPr/>
        <a:lstStyle/>
        <a:p>
          <a:r>
            <a:rPr lang="en-US" sz="1000"/>
            <a:t>Enterprise CAL Suite</a:t>
          </a:r>
        </a:p>
      </dgm:t>
    </dgm:pt>
    <dgm:pt modelId="{65B9B57E-8028-4F57-95F9-9B0D41DDEA21}" type="parTrans" cxnId="{ECF0F351-3AFB-49B7-8324-132F72204385}">
      <dgm:prSet/>
      <dgm:spPr/>
      <dgm:t>
        <a:bodyPr/>
        <a:lstStyle/>
        <a:p>
          <a:endParaRPr lang="en-US"/>
        </a:p>
      </dgm:t>
    </dgm:pt>
    <dgm:pt modelId="{BE902562-6066-4A8D-80EE-B2A5F4EBE1FC}" type="sibTrans" cxnId="{ECF0F351-3AFB-49B7-8324-132F72204385}">
      <dgm:prSet/>
      <dgm:spPr/>
      <dgm:t>
        <a:bodyPr/>
        <a:lstStyle/>
        <a:p>
          <a:endParaRPr lang="en-US"/>
        </a:p>
      </dgm:t>
    </dgm:pt>
    <dgm:pt modelId="{0E966FA2-0E87-49E4-BC0E-832C83AB2AFB}">
      <dgm:prSet phldrT="[Text]" custT="1"/>
      <dgm:spPr/>
      <dgm:t>
        <a:bodyPr/>
        <a:lstStyle/>
        <a:p>
          <a:r>
            <a:rPr lang="en-US" sz="1000"/>
            <a:t>Office SharePoint Server Standard CAL</a:t>
          </a:r>
        </a:p>
      </dgm:t>
    </dgm:pt>
    <dgm:pt modelId="{C7DF152B-37C6-4C09-91F9-B0CAABC294CB}" type="parTrans" cxnId="{C4912854-737F-4A16-9377-725916EE2341}">
      <dgm:prSet/>
      <dgm:spPr/>
      <dgm:t>
        <a:bodyPr/>
        <a:lstStyle/>
        <a:p>
          <a:endParaRPr lang="en-US"/>
        </a:p>
      </dgm:t>
    </dgm:pt>
    <dgm:pt modelId="{597FB9A5-D29D-4621-B450-E6FD2D158A4E}" type="sibTrans" cxnId="{C4912854-737F-4A16-9377-725916EE2341}">
      <dgm:prSet/>
      <dgm:spPr/>
      <dgm:t>
        <a:bodyPr/>
        <a:lstStyle/>
        <a:p>
          <a:endParaRPr lang="en-US"/>
        </a:p>
      </dgm:t>
    </dgm:pt>
    <dgm:pt modelId="{07E98E80-77E8-4A5A-980C-6B333B2CCAA2}">
      <dgm:prSet phldrT="[Text]" custT="1"/>
      <dgm:spPr/>
      <dgm:t>
        <a:bodyPr/>
        <a:lstStyle/>
        <a:p>
          <a:r>
            <a:rPr lang="en-US" sz="1000"/>
            <a:t>System Center Config Manager CML</a:t>
          </a:r>
        </a:p>
      </dgm:t>
    </dgm:pt>
    <dgm:pt modelId="{B61CC4E5-3492-4C6C-BF5B-FA126D7B06AC}" type="parTrans" cxnId="{8796A2A9-5FFA-4304-8A35-C0A9A2E0259C}">
      <dgm:prSet/>
      <dgm:spPr/>
      <dgm:t>
        <a:bodyPr/>
        <a:lstStyle/>
        <a:p>
          <a:endParaRPr lang="en-US"/>
        </a:p>
      </dgm:t>
    </dgm:pt>
    <dgm:pt modelId="{F7F1FF8C-0A63-45E5-A35D-4D380A90461E}" type="sibTrans" cxnId="{8796A2A9-5FFA-4304-8A35-C0A9A2E0259C}">
      <dgm:prSet/>
      <dgm:spPr/>
      <dgm:t>
        <a:bodyPr/>
        <a:lstStyle/>
        <a:p>
          <a:endParaRPr lang="en-US"/>
        </a:p>
      </dgm:t>
    </dgm:pt>
    <dgm:pt modelId="{5100FB24-2859-43E1-9AB9-8AC7966D343F}">
      <dgm:prSet phldrT="[Text]"/>
      <dgm:spPr/>
      <dgm:t>
        <a:bodyPr/>
        <a:lstStyle/>
        <a:p>
          <a:r>
            <a:rPr lang="en-US"/>
            <a:t>Enterprise CAL</a:t>
          </a:r>
        </a:p>
      </dgm:t>
    </dgm:pt>
    <dgm:pt modelId="{1F2CD60E-832F-458D-A251-DB2D17B7B03E}" type="parTrans" cxnId="{41867F09-E85E-4C10-8873-8F8901EE5273}">
      <dgm:prSet/>
      <dgm:spPr/>
      <dgm:t>
        <a:bodyPr/>
        <a:lstStyle/>
        <a:p>
          <a:endParaRPr lang="en-US"/>
        </a:p>
      </dgm:t>
    </dgm:pt>
    <dgm:pt modelId="{922716A9-8963-4475-8C1E-A2631F03E63E}" type="sibTrans" cxnId="{41867F09-E85E-4C10-8873-8F8901EE5273}">
      <dgm:prSet/>
      <dgm:spPr/>
      <dgm:t>
        <a:bodyPr/>
        <a:lstStyle/>
        <a:p>
          <a:endParaRPr lang="en-US"/>
        </a:p>
      </dgm:t>
    </dgm:pt>
    <dgm:pt modelId="{68FB626F-755B-470C-AFF3-B9E27CBC6FBC}">
      <dgm:prSet phldrT="[Text]" custT="1"/>
      <dgm:spPr/>
      <dgm:t>
        <a:bodyPr/>
        <a:lstStyle/>
        <a:p>
          <a:r>
            <a:rPr lang="en-US" sz="1000"/>
            <a:t>Core CAL					Forefront Protection Suite</a:t>
          </a:r>
        </a:p>
      </dgm:t>
    </dgm:pt>
    <dgm:pt modelId="{D83F430F-CB9F-40C1-9FC0-57405EAFD393}" type="parTrans" cxnId="{6DF71F67-929A-4737-B1FA-637F987D8433}">
      <dgm:prSet/>
      <dgm:spPr/>
      <dgm:t>
        <a:bodyPr/>
        <a:lstStyle/>
        <a:p>
          <a:endParaRPr lang="en-US"/>
        </a:p>
      </dgm:t>
    </dgm:pt>
    <dgm:pt modelId="{342BBFF0-0296-453E-83F4-DE632918CDA7}" type="sibTrans" cxnId="{6DF71F67-929A-4737-B1FA-637F987D8433}">
      <dgm:prSet/>
      <dgm:spPr/>
      <dgm:t>
        <a:bodyPr/>
        <a:lstStyle/>
        <a:p>
          <a:endParaRPr lang="en-US"/>
        </a:p>
      </dgm:t>
    </dgm:pt>
    <dgm:pt modelId="{906C6D9E-D72E-4917-A92C-51E99203C005}">
      <dgm:prSet phldrT="[Text]" custT="1"/>
      <dgm:spPr/>
      <dgm:t>
        <a:bodyPr/>
        <a:lstStyle/>
        <a:p>
          <a:r>
            <a:rPr lang="en-US" sz="1000"/>
            <a:t>Exchange Server Enterprise CAL			Office SharePoint Enterprise CAL</a:t>
          </a:r>
        </a:p>
      </dgm:t>
    </dgm:pt>
    <dgm:pt modelId="{5CAF0CB8-36BD-4A9D-8F93-70E7B31D1BCE}" type="parTrans" cxnId="{1E5B8D77-1C24-4991-AA04-57F36C93ACDA}">
      <dgm:prSet/>
      <dgm:spPr/>
      <dgm:t>
        <a:bodyPr/>
        <a:lstStyle/>
        <a:p>
          <a:endParaRPr lang="en-US"/>
        </a:p>
      </dgm:t>
    </dgm:pt>
    <dgm:pt modelId="{41D9A237-BFE7-4924-BC38-157A6AAFBD87}" type="sibTrans" cxnId="{1E5B8D77-1C24-4991-AA04-57F36C93ACDA}">
      <dgm:prSet/>
      <dgm:spPr/>
      <dgm:t>
        <a:bodyPr/>
        <a:lstStyle/>
        <a:p>
          <a:endParaRPr lang="en-US"/>
        </a:p>
      </dgm:t>
    </dgm:pt>
    <dgm:pt modelId="{F511E4B0-3784-4166-9041-F422529E5632}">
      <dgm:prSet phldrT="[Text]" custT="1"/>
      <dgm:spPr/>
      <dgm:t>
        <a:bodyPr/>
        <a:lstStyle/>
        <a:p>
          <a:r>
            <a:rPr lang="en-US" sz="1000"/>
            <a:t>Lync Server Enterprise CAL			System Center Config Manager CML</a:t>
          </a:r>
        </a:p>
      </dgm:t>
    </dgm:pt>
    <dgm:pt modelId="{CB1C1446-BDFB-4962-9A3B-3420A1F805DA}" type="parTrans" cxnId="{75921426-19BA-4CF5-8037-BF91DB2DA07E}">
      <dgm:prSet/>
      <dgm:spPr/>
      <dgm:t>
        <a:bodyPr/>
        <a:lstStyle/>
        <a:p>
          <a:endParaRPr lang="en-US"/>
        </a:p>
      </dgm:t>
    </dgm:pt>
    <dgm:pt modelId="{808EFED2-A198-4B19-BA20-37CC91725605}" type="sibTrans" cxnId="{75921426-19BA-4CF5-8037-BF91DB2DA07E}">
      <dgm:prSet/>
      <dgm:spPr/>
      <dgm:t>
        <a:bodyPr/>
        <a:lstStyle/>
        <a:p>
          <a:endParaRPr lang="en-US"/>
        </a:p>
      </dgm:t>
    </dgm:pt>
    <dgm:pt modelId="{B3EC7FC4-6709-4AED-AC0C-CFE408349FAA}">
      <dgm:prSet phldrT="[Text]" custT="1"/>
      <dgm:spPr/>
      <dgm:t>
        <a:bodyPr/>
        <a:lstStyle/>
        <a:p>
          <a:r>
            <a:rPr lang="en-US" sz="1000"/>
            <a:t>Windows Rights Management Services CAL	System Center Client Manager Suite</a:t>
          </a:r>
        </a:p>
      </dgm:t>
    </dgm:pt>
    <dgm:pt modelId="{795736CE-0E40-4D8C-BAB2-CC6EA1649926}" type="parTrans" cxnId="{13D22AEB-EF65-4E2B-AE74-8DC82DE2D4C5}">
      <dgm:prSet/>
      <dgm:spPr/>
      <dgm:t>
        <a:bodyPr/>
        <a:lstStyle/>
        <a:p>
          <a:endParaRPr lang="en-US"/>
        </a:p>
      </dgm:t>
    </dgm:pt>
    <dgm:pt modelId="{57C2D462-270D-4C34-A431-4D84AFD4BCA6}" type="sibTrans" cxnId="{13D22AEB-EF65-4E2B-AE74-8DC82DE2D4C5}">
      <dgm:prSet/>
      <dgm:spPr/>
      <dgm:t>
        <a:bodyPr/>
        <a:lstStyle/>
        <a:p>
          <a:endParaRPr lang="en-US"/>
        </a:p>
      </dgm:t>
    </dgm:pt>
    <dgm:pt modelId="{1E367789-E621-43A6-AF9E-53859B5876FB}">
      <dgm:prSet phldrT="[Text]" custT="1"/>
      <dgm:spPr/>
      <dgm:t>
        <a:bodyPr/>
        <a:lstStyle/>
        <a:p>
          <a:r>
            <a:rPr lang="en-US" sz="1000"/>
            <a:t>Forefront Unified Access Gateway</a:t>
          </a:r>
        </a:p>
      </dgm:t>
    </dgm:pt>
    <dgm:pt modelId="{A49106B6-D75F-44A7-A6C6-857922A3BC0A}" type="parTrans" cxnId="{1CC5F90B-0583-4080-86E6-69E6C5B0C611}">
      <dgm:prSet/>
      <dgm:spPr/>
    </dgm:pt>
    <dgm:pt modelId="{FD7AE37B-CEA4-40E1-B78C-F2F147414021}" type="sibTrans" cxnId="{1CC5F90B-0583-4080-86E6-69E6C5B0C611}">
      <dgm:prSet/>
      <dgm:spPr/>
    </dgm:pt>
    <dgm:pt modelId="{26EBD462-9BB6-45AC-AA05-84D771E2CD8C}" type="pres">
      <dgm:prSet presAssocID="{54306E0C-2953-4D4B-81A0-9977C2E9A5B3}" presName="Name0" presStyleCnt="0">
        <dgm:presLayoutVars>
          <dgm:dir/>
          <dgm:animLvl val="lvl"/>
          <dgm:resizeHandles val="exact"/>
        </dgm:presLayoutVars>
      </dgm:prSet>
      <dgm:spPr/>
      <dgm:t>
        <a:bodyPr/>
        <a:lstStyle/>
        <a:p>
          <a:endParaRPr lang="en-US"/>
        </a:p>
      </dgm:t>
    </dgm:pt>
    <dgm:pt modelId="{302C8330-ADA8-49EA-BD19-BEFF9F1A8507}" type="pres">
      <dgm:prSet presAssocID="{5CBDC071-6EB0-4356-B56E-10B101A461C4}" presName="linNode" presStyleCnt="0"/>
      <dgm:spPr/>
    </dgm:pt>
    <dgm:pt modelId="{E89BCD1F-BB2C-4228-BB8A-A1189184D652}" type="pres">
      <dgm:prSet presAssocID="{5CBDC071-6EB0-4356-B56E-10B101A461C4}" presName="parentText" presStyleLbl="node1" presStyleIdx="0" presStyleCnt="4">
        <dgm:presLayoutVars>
          <dgm:chMax val="1"/>
          <dgm:bulletEnabled val="1"/>
        </dgm:presLayoutVars>
      </dgm:prSet>
      <dgm:spPr/>
      <dgm:t>
        <a:bodyPr/>
        <a:lstStyle/>
        <a:p>
          <a:endParaRPr lang="en-US"/>
        </a:p>
      </dgm:t>
    </dgm:pt>
    <dgm:pt modelId="{98738E89-8DDA-4366-8E9F-7F8F9ED6EDFB}" type="pres">
      <dgm:prSet presAssocID="{5CBDC071-6EB0-4356-B56E-10B101A461C4}" presName="descendantText" presStyleLbl="alignAccFollowNode1" presStyleIdx="0" presStyleCnt="4">
        <dgm:presLayoutVars>
          <dgm:bulletEnabled val="1"/>
        </dgm:presLayoutVars>
      </dgm:prSet>
      <dgm:spPr/>
      <dgm:t>
        <a:bodyPr/>
        <a:lstStyle/>
        <a:p>
          <a:endParaRPr lang="en-US"/>
        </a:p>
      </dgm:t>
    </dgm:pt>
    <dgm:pt modelId="{B2E97C03-6123-43F8-9FE5-8F75CE90A8B4}" type="pres">
      <dgm:prSet presAssocID="{02DBA7B3-41D0-4B9D-B37B-CABB5538F343}" presName="sp" presStyleCnt="0"/>
      <dgm:spPr/>
    </dgm:pt>
    <dgm:pt modelId="{05B8CDFF-70B2-4A71-B4EE-0A73A44EFE09}" type="pres">
      <dgm:prSet presAssocID="{B06DBEBE-0F40-488E-B796-958EDF3586EF}" presName="linNode" presStyleCnt="0"/>
      <dgm:spPr/>
    </dgm:pt>
    <dgm:pt modelId="{B93EE749-BB1B-4607-9FDA-04D1A6EFD6E0}" type="pres">
      <dgm:prSet presAssocID="{B06DBEBE-0F40-488E-B796-958EDF3586EF}" presName="parentText" presStyleLbl="node1" presStyleIdx="1" presStyleCnt="4">
        <dgm:presLayoutVars>
          <dgm:chMax val="1"/>
          <dgm:bulletEnabled val="1"/>
        </dgm:presLayoutVars>
      </dgm:prSet>
      <dgm:spPr/>
      <dgm:t>
        <a:bodyPr/>
        <a:lstStyle/>
        <a:p>
          <a:endParaRPr lang="en-US"/>
        </a:p>
      </dgm:t>
    </dgm:pt>
    <dgm:pt modelId="{6DBE479E-DB16-4163-916C-FB19ADD68668}" type="pres">
      <dgm:prSet presAssocID="{B06DBEBE-0F40-488E-B796-958EDF3586EF}" presName="descendantText" presStyleLbl="alignAccFollowNode1" presStyleIdx="1" presStyleCnt="4">
        <dgm:presLayoutVars>
          <dgm:bulletEnabled val="1"/>
        </dgm:presLayoutVars>
      </dgm:prSet>
      <dgm:spPr/>
      <dgm:t>
        <a:bodyPr/>
        <a:lstStyle/>
        <a:p>
          <a:endParaRPr lang="en-US"/>
        </a:p>
      </dgm:t>
    </dgm:pt>
    <dgm:pt modelId="{C9097E6B-B164-43DA-A605-025BEB5DF51D}" type="pres">
      <dgm:prSet presAssocID="{2BB4F00C-F157-4871-A0FF-E436AE0FA76F}" presName="sp" presStyleCnt="0"/>
      <dgm:spPr/>
    </dgm:pt>
    <dgm:pt modelId="{803F8095-6347-4E26-B164-8A057E018A23}" type="pres">
      <dgm:prSet presAssocID="{79AD33BB-DDEB-4D19-9463-4A3F80C572CB}" presName="linNode" presStyleCnt="0"/>
      <dgm:spPr/>
    </dgm:pt>
    <dgm:pt modelId="{93359D1E-FF18-445C-9962-F3188CF9CF67}" type="pres">
      <dgm:prSet presAssocID="{79AD33BB-DDEB-4D19-9463-4A3F80C572CB}" presName="parentText" presStyleLbl="node1" presStyleIdx="2" presStyleCnt="4">
        <dgm:presLayoutVars>
          <dgm:chMax val="1"/>
          <dgm:bulletEnabled val="1"/>
        </dgm:presLayoutVars>
      </dgm:prSet>
      <dgm:spPr/>
      <dgm:t>
        <a:bodyPr/>
        <a:lstStyle/>
        <a:p>
          <a:endParaRPr lang="en-US"/>
        </a:p>
      </dgm:t>
    </dgm:pt>
    <dgm:pt modelId="{0C789C3B-ACE1-4994-AD79-ABC190820C00}" type="pres">
      <dgm:prSet presAssocID="{79AD33BB-DDEB-4D19-9463-4A3F80C572CB}" presName="descendantText" presStyleLbl="alignAccFollowNode1" presStyleIdx="2" presStyleCnt="4">
        <dgm:presLayoutVars>
          <dgm:bulletEnabled val="1"/>
        </dgm:presLayoutVars>
      </dgm:prSet>
      <dgm:spPr/>
      <dgm:t>
        <a:bodyPr/>
        <a:lstStyle/>
        <a:p>
          <a:endParaRPr lang="en-US"/>
        </a:p>
      </dgm:t>
    </dgm:pt>
    <dgm:pt modelId="{46926988-06D5-4889-95E8-843AA3DF5AE8}" type="pres">
      <dgm:prSet presAssocID="{4BBD51F1-ECB5-4F56-8A67-0CD67D4C4CAB}" presName="sp" presStyleCnt="0"/>
      <dgm:spPr/>
    </dgm:pt>
    <dgm:pt modelId="{261B3F0C-1EB9-438C-9E93-10A9C2BF6C85}" type="pres">
      <dgm:prSet presAssocID="{5100FB24-2859-43E1-9AB9-8AC7966D343F}" presName="linNode" presStyleCnt="0"/>
      <dgm:spPr/>
    </dgm:pt>
    <dgm:pt modelId="{E7D4A740-148A-40D9-B32F-7FEFD7E9F2DF}" type="pres">
      <dgm:prSet presAssocID="{5100FB24-2859-43E1-9AB9-8AC7966D343F}" presName="parentText" presStyleLbl="node1" presStyleIdx="3" presStyleCnt="4">
        <dgm:presLayoutVars>
          <dgm:chMax val="1"/>
          <dgm:bulletEnabled val="1"/>
        </dgm:presLayoutVars>
      </dgm:prSet>
      <dgm:spPr/>
      <dgm:t>
        <a:bodyPr/>
        <a:lstStyle/>
        <a:p>
          <a:endParaRPr lang="en-US"/>
        </a:p>
      </dgm:t>
    </dgm:pt>
    <dgm:pt modelId="{3AFDE447-633D-4994-8C7D-C807550C690C}" type="pres">
      <dgm:prSet presAssocID="{5100FB24-2859-43E1-9AB9-8AC7966D343F}" presName="descendantText" presStyleLbl="alignAccFollowNode1" presStyleIdx="3" presStyleCnt="4">
        <dgm:presLayoutVars>
          <dgm:bulletEnabled val="1"/>
        </dgm:presLayoutVars>
      </dgm:prSet>
      <dgm:spPr/>
      <dgm:t>
        <a:bodyPr/>
        <a:lstStyle/>
        <a:p>
          <a:endParaRPr lang="en-US"/>
        </a:p>
      </dgm:t>
    </dgm:pt>
  </dgm:ptLst>
  <dgm:cxnLst>
    <dgm:cxn modelId="{6B7841E0-6624-49AA-9F48-1E7BABBFAB6D}" type="presOf" srcId="{B4434407-8B13-4C4C-98C2-AB4A16585BF3}" destId="{98738E89-8DDA-4366-8E9F-7F8F9ED6EDFB}" srcOrd="0" destOrd="1" presId="urn:microsoft.com/office/officeart/2005/8/layout/vList5"/>
    <dgm:cxn modelId="{9ADF96D1-9336-4F9F-A762-5DFEF776C59A}" type="presOf" srcId="{463999ED-BD0F-4730-9515-AEBD507022C2}" destId="{6DBE479E-DB16-4163-916C-FB19ADD68668}" srcOrd="0" destOrd="2" presId="urn:microsoft.com/office/officeart/2005/8/layout/vList5"/>
    <dgm:cxn modelId="{3DB3D192-FD5A-443C-9C3F-9E7D37F674B4}" srcId="{54306E0C-2953-4D4B-81A0-9977C2E9A5B3}" destId="{79AD33BB-DDEB-4D19-9463-4A3F80C572CB}" srcOrd="2" destOrd="0" parTransId="{65418429-E365-465E-9D6C-67955C58DAF6}" sibTransId="{4BBD51F1-ECB5-4F56-8A67-0CD67D4C4CAB}"/>
    <dgm:cxn modelId="{8796A2A9-5FFA-4304-8A35-C0A9A2E0259C}" srcId="{79AD33BB-DDEB-4D19-9463-4A3F80C572CB}" destId="{07E98E80-77E8-4A5A-980C-6B333B2CCAA2}" srcOrd="3" destOrd="0" parTransId="{B61CC4E5-3492-4C6C-BF5B-FA126D7B06AC}" sibTransId="{F7F1FF8C-0A63-45E5-A35D-4D380A90461E}"/>
    <dgm:cxn modelId="{13D22AEB-EF65-4E2B-AE74-8DC82DE2D4C5}" srcId="{5100FB24-2859-43E1-9AB9-8AC7966D343F}" destId="{B3EC7FC4-6709-4AED-AC0C-CFE408349FAA}" srcOrd="3" destOrd="0" parTransId="{795736CE-0E40-4D8C-BAB2-CC6EA1649926}" sibTransId="{57C2D462-270D-4C34-A431-4D84AFD4BCA6}"/>
    <dgm:cxn modelId="{1CC5F90B-0583-4080-86E6-69E6C5B0C611}" srcId="{5100FB24-2859-43E1-9AB9-8AC7966D343F}" destId="{1E367789-E621-43A6-AF9E-53859B5876FB}" srcOrd="4" destOrd="0" parTransId="{A49106B6-D75F-44A7-A6C6-857922A3BC0A}" sibTransId="{FD7AE37B-CEA4-40E1-B78C-F2F147414021}"/>
    <dgm:cxn modelId="{66E6179C-9CA7-4494-8E1C-4EE64705F5C8}" srcId="{5CBDC071-6EB0-4356-B56E-10B101A461C4}" destId="{B4434407-8B13-4C4C-98C2-AB4A16585BF3}" srcOrd="1" destOrd="0" parTransId="{2CF96C96-95E9-44BE-8106-1F01155BA026}" sibTransId="{6AE5B030-4C5C-4EBE-BC51-15B520107D67}"/>
    <dgm:cxn modelId="{CFA6167C-4DAB-4242-8B7F-1821655BE2B3}" srcId="{5CBDC071-6EB0-4356-B56E-10B101A461C4}" destId="{87D0278F-BDBB-4A04-AD53-A4053B7B67DA}" srcOrd="2" destOrd="0" parTransId="{4965390D-D7C6-41E3-B9F2-4B512C0A9FF3}" sibTransId="{52441E5C-47E3-4D2D-9EA1-14FB24FD8916}"/>
    <dgm:cxn modelId="{ECF0F351-3AFB-49B7-8324-132F72204385}" srcId="{B06DBEBE-0F40-488E-B796-958EDF3586EF}" destId="{463999ED-BD0F-4730-9515-AEBD507022C2}" srcOrd="2" destOrd="0" parTransId="{65B9B57E-8028-4F57-95F9-9B0D41DDEA21}" sibTransId="{BE902562-6066-4A8D-80EE-B2A5F4EBE1FC}"/>
    <dgm:cxn modelId="{B1649438-4B47-4AB3-BBCB-19B27B433504}" type="presOf" srcId="{54306E0C-2953-4D4B-81A0-9977C2E9A5B3}" destId="{26EBD462-9BB6-45AC-AA05-84D771E2CD8C}" srcOrd="0" destOrd="0" presId="urn:microsoft.com/office/officeart/2005/8/layout/vList5"/>
    <dgm:cxn modelId="{E6DC1299-B284-4D63-A4AB-1CD8AECC9503}" type="presOf" srcId="{68FB626F-755B-470C-AFF3-B9E27CBC6FBC}" destId="{3AFDE447-633D-4994-8C7D-C807550C690C}" srcOrd="0" destOrd="0" presId="urn:microsoft.com/office/officeart/2005/8/layout/vList5"/>
    <dgm:cxn modelId="{6FB862B4-9434-4874-83D0-8AB56CF1F44B}" type="presOf" srcId="{DFA776C9-EE63-40BF-8C9D-DE91D871DBDF}" destId="{0C789C3B-ACE1-4994-AD79-ABC190820C00}" srcOrd="0" destOrd="1" presId="urn:microsoft.com/office/officeart/2005/8/layout/vList5"/>
    <dgm:cxn modelId="{1C4B2B59-07D0-4DE3-B2BC-B013B84FB01C}" srcId="{79AD33BB-DDEB-4D19-9463-4A3F80C572CB}" destId="{DFA776C9-EE63-40BF-8C9D-DE91D871DBDF}" srcOrd="1" destOrd="0" parTransId="{E969768A-6EAA-44DD-9050-FE197D3E6F85}" sibTransId="{FAC1C211-9EEB-4BD1-BE64-4C5507766662}"/>
    <dgm:cxn modelId="{195B3547-6C63-40CF-BDC7-072477141E25}" type="presOf" srcId="{906C6D9E-D72E-4917-A92C-51E99203C005}" destId="{3AFDE447-633D-4994-8C7D-C807550C690C}" srcOrd="0" destOrd="1" presId="urn:microsoft.com/office/officeart/2005/8/layout/vList5"/>
    <dgm:cxn modelId="{E55FACDD-5053-4040-9CC6-1D3ED4E592A1}" type="presOf" srcId="{79AD33BB-DDEB-4D19-9463-4A3F80C572CB}" destId="{93359D1E-FF18-445C-9962-F3188CF9CF67}" srcOrd="0" destOrd="0" presId="urn:microsoft.com/office/officeart/2005/8/layout/vList5"/>
    <dgm:cxn modelId="{8F1349B6-1635-4E8A-B2E1-B9828F45C0C0}" type="presOf" srcId="{87D0278F-BDBB-4A04-AD53-A4053B7B67DA}" destId="{98738E89-8DDA-4366-8E9F-7F8F9ED6EDFB}" srcOrd="0" destOrd="2" presId="urn:microsoft.com/office/officeart/2005/8/layout/vList5"/>
    <dgm:cxn modelId="{75921426-19BA-4CF5-8037-BF91DB2DA07E}" srcId="{5100FB24-2859-43E1-9AB9-8AC7966D343F}" destId="{F511E4B0-3784-4166-9041-F422529E5632}" srcOrd="2" destOrd="0" parTransId="{CB1C1446-BDFB-4962-9A3B-3420A1F805DA}" sibTransId="{808EFED2-A198-4B19-BA20-37CC91725605}"/>
    <dgm:cxn modelId="{1E5B8D77-1C24-4991-AA04-57F36C93ACDA}" srcId="{5100FB24-2859-43E1-9AB9-8AC7966D343F}" destId="{906C6D9E-D72E-4917-A92C-51E99203C005}" srcOrd="1" destOrd="0" parTransId="{5CAF0CB8-36BD-4A9D-8F93-70E7B31D1BCE}" sibTransId="{41D9A237-BFE7-4924-BC38-157A6AAFBD87}"/>
    <dgm:cxn modelId="{3DCF7D51-B894-4AE2-A078-F588AAC70E24}" type="presOf" srcId="{07E98E80-77E8-4A5A-980C-6B333B2CCAA2}" destId="{0C789C3B-ACE1-4994-AD79-ABC190820C00}" srcOrd="0" destOrd="3" presId="urn:microsoft.com/office/officeart/2005/8/layout/vList5"/>
    <dgm:cxn modelId="{0EEFC9E1-DDF9-47CA-B1A1-586CB612793E}" srcId="{B06DBEBE-0F40-488E-B796-958EDF3586EF}" destId="{93383380-B66C-4233-8B8D-FDD87ADE5932}" srcOrd="0" destOrd="0" parTransId="{4798283C-EFF2-4462-A305-FB883484FD64}" sibTransId="{CF77DFF9-5D34-43DB-8364-D83CAD83F0DB}"/>
    <dgm:cxn modelId="{E19D8FF4-62B3-4DFC-A0B9-5A8509A577A5}" type="presOf" srcId="{5100FB24-2859-43E1-9AB9-8AC7966D343F}" destId="{E7D4A740-148A-40D9-B32F-7FEFD7E9F2DF}" srcOrd="0" destOrd="0" presId="urn:microsoft.com/office/officeart/2005/8/layout/vList5"/>
    <dgm:cxn modelId="{B01C7606-4A17-4A33-B4BC-4E41A1B81756}" type="presOf" srcId="{5CBDC071-6EB0-4356-B56E-10B101A461C4}" destId="{E89BCD1F-BB2C-4228-BB8A-A1189184D652}" srcOrd="0" destOrd="0" presId="urn:microsoft.com/office/officeart/2005/8/layout/vList5"/>
    <dgm:cxn modelId="{1764B4B1-DFDB-42F8-BC3A-9547ACECB6B6}" type="presOf" srcId="{F511E4B0-3784-4166-9041-F422529E5632}" destId="{3AFDE447-633D-4994-8C7D-C807550C690C}" srcOrd="0" destOrd="2" presId="urn:microsoft.com/office/officeart/2005/8/layout/vList5"/>
    <dgm:cxn modelId="{07C38A06-B0B3-4522-B137-0BA598120B9A}" srcId="{79AD33BB-DDEB-4D19-9463-4A3F80C572CB}" destId="{D631100C-DE33-4A0B-9437-BFC18BD14527}" srcOrd="0" destOrd="0" parTransId="{D78C7D2F-9BCE-4B1B-8D95-D63086AB684C}" sibTransId="{8B468B92-1886-4E6B-B8DA-5CF43CC71FFE}"/>
    <dgm:cxn modelId="{923A1745-FAB1-4ED9-A5F9-D8F526289F86}" type="presOf" srcId="{B3EC7FC4-6709-4AED-AC0C-CFE408349FAA}" destId="{3AFDE447-633D-4994-8C7D-C807550C690C}" srcOrd="0" destOrd="3" presId="urn:microsoft.com/office/officeart/2005/8/layout/vList5"/>
    <dgm:cxn modelId="{B1FBC625-418D-4A06-9BA4-19F7C859698B}" type="presOf" srcId="{77923EAC-C574-472B-AD44-5B2E63CEF320}" destId="{98738E89-8DDA-4366-8E9F-7F8F9ED6EDFB}" srcOrd="0" destOrd="0" presId="urn:microsoft.com/office/officeart/2005/8/layout/vList5"/>
    <dgm:cxn modelId="{4B25D6E3-EE5E-49D2-ABBE-FE157C59026C}" srcId="{5CBDC071-6EB0-4356-B56E-10B101A461C4}" destId="{77923EAC-C574-472B-AD44-5B2E63CEF320}" srcOrd="0" destOrd="0" parTransId="{8E338D51-4078-4B08-BD10-7494425F3A85}" sibTransId="{3E4F3388-5E5E-47C1-A7FE-0F97409A2357}"/>
    <dgm:cxn modelId="{C4912854-737F-4A16-9377-725916EE2341}" srcId="{79AD33BB-DDEB-4D19-9463-4A3F80C572CB}" destId="{0E966FA2-0E87-49E4-BC0E-832C83AB2AFB}" srcOrd="2" destOrd="0" parTransId="{C7DF152B-37C6-4C09-91F9-B0CAABC294CB}" sibTransId="{597FB9A5-D29D-4621-B450-E6FD2D158A4E}"/>
    <dgm:cxn modelId="{FE3A2B76-211A-414F-99C5-46AC177DC7AB}" type="presOf" srcId="{D4858DF4-E2C4-418C-BCEC-82EA1B04D267}" destId="{6DBE479E-DB16-4163-916C-FB19ADD68668}" srcOrd="0" destOrd="1" presId="urn:microsoft.com/office/officeart/2005/8/layout/vList5"/>
    <dgm:cxn modelId="{2C93D028-6024-4DC4-9E0C-611267E25A3A}" type="presOf" srcId="{1E367789-E621-43A6-AF9E-53859B5876FB}" destId="{3AFDE447-633D-4994-8C7D-C807550C690C}" srcOrd="0" destOrd="4" presId="urn:microsoft.com/office/officeart/2005/8/layout/vList5"/>
    <dgm:cxn modelId="{6DF71F67-929A-4737-B1FA-637F987D8433}" srcId="{5100FB24-2859-43E1-9AB9-8AC7966D343F}" destId="{68FB626F-755B-470C-AFF3-B9E27CBC6FBC}" srcOrd="0" destOrd="0" parTransId="{D83F430F-CB9F-40C1-9FC0-57405EAFD393}" sibTransId="{342BBFF0-0296-453E-83F4-DE632918CDA7}"/>
    <dgm:cxn modelId="{95F7C59F-0A87-4778-852C-74EE92ADCBCB}" srcId="{54306E0C-2953-4D4B-81A0-9977C2E9A5B3}" destId="{5CBDC071-6EB0-4356-B56E-10B101A461C4}" srcOrd="0" destOrd="0" parTransId="{B21C765B-74F7-4277-8DC7-47EBB0660ACC}" sibTransId="{02DBA7B3-41D0-4B9D-B37B-CABB5538F343}"/>
    <dgm:cxn modelId="{3A8AA073-3836-42AC-99E4-CCBBE5B90308}" type="presOf" srcId="{D631100C-DE33-4A0B-9437-BFC18BD14527}" destId="{0C789C3B-ACE1-4994-AD79-ABC190820C00}" srcOrd="0" destOrd="0" presId="urn:microsoft.com/office/officeart/2005/8/layout/vList5"/>
    <dgm:cxn modelId="{41867F09-E85E-4C10-8873-8F8901EE5273}" srcId="{54306E0C-2953-4D4B-81A0-9977C2E9A5B3}" destId="{5100FB24-2859-43E1-9AB9-8AC7966D343F}" srcOrd="3" destOrd="0" parTransId="{1F2CD60E-832F-458D-A251-DB2D17B7B03E}" sibTransId="{922716A9-8963-4475-8C1E-A2631F03E63E}"/>
    <dgm:cxn modelId="{7CF641C7-90C7-4981-97B8-105A48A7FCDE}" type="presOf" srcId="{93383380-B66C-4233-8B8D-FDD87ADE5932}" destId="{6DBE479E-DB16-4163-916C-FB19ADD68668}" srcOrd="0" destOrd="0" presId="urn:microsoft.com/office/officeart/2005/8/layout/vList5"/>
    <dgm:cxn modelId="{322A876B-7AA3-49B2-BFEF-AC183E623943}" type="presOf" srcId="{0E966FA2-0E87-49E4-BC0E-832C83AB2AFB}" destId="{0C789C3B-ACE1-4994-AD79-ABC190820C00}" srcOrd="0" destOrd="2" presId="urn:microsoft.com/office/officeart/2005/8/layout/vList5"/>
    <dgm:cxn modelId="{004E7E14-64B4-4341-AA1A-62D3C8CDA598}" srcId="{B06DBEBE-0F40-488E-B796-958EDF3586EF}" destId="{D4858DF4-E2C4-418C-BCEC-82EA1B04D267}" srcOrd="1" destOrd="0" parTransId="{0F80DB06-15C4-4DD8-854D-A78B4A6D014C}" sibTransId="{6EBCA211-F30E-40F4-8D0A-31F2D9488E7B}"/>
    <dgm:cxn modelId="{E08D9B4D-B79B-4483-9726-3F87484DC737}" srcId="{54306E0C-2953-4D4B-81A0-9977C2E9A5B3}" destId="{B06DBEBE-0F40-488E-B796-958EDF3586EF}" srcOrd="1" destOrd="0" parTransId="{A85FDAB4-1BA1-4FD9-A3B6-BB4D531F8F2C}" sibTransId="{2BB4F00C-F157-4871-A0FF-E436AE0FA76F}"/>
    <dgm:cxn modelId="{F7A935D3-315F-49A2-96DF-9DE764CBCBCE}" type="presOf" srcId="{B06DBEBE-0F40-488E-B796-958EDF3586EF}" destId="{B93EE749-BB1B-4607-9FDA-04D1A6EFD6E0}" srcOrd="0" destOrd="0" presId="urn:microsoft.com/office/officeart/2005/8/layout/vList5"/>
    <dgm:cxn modelId="{B5850F53-EFB6-4A09-A37F-2EFA5B1C172C}" type="presParOf" srcId="{26EBD462-9BB6-45AC-AA05-84D771E2CD8C}" destId="{302C8330-ADA8-49EA-BD19-BEFF9F1A8507}" srcOrd="0" destOrd="0" presId="urn:microsoft.com/office/officeart/2005/8/layout/vList5"/>
    <dgm:cxn modelId="{A912AA74-442D-41F2-9316-54051BB1E183}" type="presParOf" srcId="{302C8330-ADA8-49EA-BD19-BEFF9F1A8507}" destId="{E89BCD1F-BB2C-4228-BB8A-A1189184D652}" srcOrd="0" destOrd="0" presId="urn:microsoft.com/office/officeart/2005/8/layout/vList5"/>
    <dgm:cxn modelId="{4B72A916-5995-42F1-86A5-B05EA0CBAE11}" type="presParOf" srcId="{302C8330-ADA8-49EA-BD19-BEFF9F1A8507}" destId="{98738E89-8DDA-4366-8E9F-7F8F9ED6EDFB}" srcOrd="1" destOrd="0" presId="urn:microsoft.com/office/officeart/2005/8/layout/vList5"/>
    <dgm:cxn modelId="{B4385D38-0FC8-4551-ACF5-798C70779AFA}" type="presParOf" srcId="{26EBD462-9BB6-45AC-AA05-84D771E2CD8C}" destId="{B2E97C03-6123-43F8-9FE5-8F75CE90A8B4}" srcOrd="1" destOrd="0" presId="urn:microsoft.com/office/officeart/2005/8/layout/vList5"/>
    <dgm:cxn modelId="{9A31459E-C1C7-44BA-AD2E-7D4D275EF98A}" type="presParOf" srcId="{26EBD462-9BB6-45AC-AA05-84D771E2CD8C}" destId="{05B8CDFF-70B2-4A71-B4EE-0A73A44EFE09}" srcOrd="2" destOrd="0" presId="urn:microsoft.com/office/officeart/2005/8/layout/vList5"/>
    <dgm:cxn modelId="{1465B7B5-70BF-4C75-B819-1D9C742FEFC0}" type="presParOf" srcId="{05B8CDFF-70B2-4A71-B4EE-0A73A44EFE09}" destId="{B93EE749-BB1B-4607-9FDA-04D1A6EFD6E0}" srcOrd="0" destOrd="0" presId="urn:microsoft.com/office/officeart/2005/8/layout/vList5"/>
    <dgm:cxn modelId="{CC303E3D-603A-46EE-98B7-E971B8BC4284}" type="presParOf" srcId="{05B8CDFF-70B2-4A71-B4EE-0A73A44EFE09}" destId="{6DBE479E-DB16-4163-916C-FB19ADD68668}" srcOrd="1" destOrd="0" presId="urn:microsoft.com/office/officeart/2005/8/layout/vList5"/>
    <dgm:cxn modelId="{850ABD0E-A71F-4BC3-A069-6A71FEF63228}" type="presParOf" srcId="{26EBD462-9BB6-45AC-AA05-84D771E2CD8C}" destId="{C9097E6B-B164-43DA-A605-025BEB5DF51D}" srcOrd="3" destOrd="0" presId="urn:microsoft.com/office/officeart/2005/8/layout/vList5"/>
    <dgm:cxn modelId="{3F3F7FF6-0D23-4F9A-B755-8F0806FF6874}" type="presParOf" srcId="{26EBD462-9BB6-45AC-AA05-84D771E2CD8C}" destId="{803F8095-6347-4E26-B164-8A057E018A23}" srcOrd="4" destOrd="0" presId="urn:microsoft.com/office/officeart/2005/8/layout/vList5"/>
    <dgm:cxn modelId="{B960F4AC-605A-4693-AED0-03CE1CCEB3D2}" type="presParOf" srcId="{803F8095-6347-4E26-B164-8A057E018A23}" destId="{93359D1E-FF18-445C-9962-F3188CF9CF67}" srcOrd="0" destOrd="0" presId="urn:microsoft.com/office/officeart/2005/8/layout/vList5"/>
    <dgm:cxn modelId="{B87F515C-FC6B-4009-8761-646F9DA38D86}" type="presParOf" srcId="{803F8095-6347-4E26-B164-8A057E018A23}" destId="{0C789C3B-ACE1-4994-AD79-ABC190820C00}" srcOrd="1" destOrd="0" presId="urn:microsoft.com/office/officeart/2005/8/layout/vList5"/>
    <dgm:cxn modelId="{1EF8FE15-C21C-4241-A207-62ECEABEF4ED}" type="presParOf" srcId="{26EBD462-9BB6-45AC-AA05-84D771E2CD8C}" destId="{46926988-06D5-4889-95E8-843AA3DF5AE8}" srcOrd="5" destOrd="0" presId="urn:microsoft.com/office/officeart/2005/8/layout/vList5"/>
    <dgm:cxn modelId="{A4E9695F-E35A-40AB-AB31-8458A315DDFB}" type="presParOf" srcId="{26EBD462-9BB6-45AC-AA05-84D771E2CD8C}" destId="{261B3F0C-1EB9-438C-9E93-10A9C2BF6C85}" srcOrd="6" destOrd="0" presId="urn:microsoft.com/office/officeart/2005/8/layout/vList5"/>
    <dgm:cxn modelId="{162FCE93-5823-4D4C-9ED6-1AE2928FA7EB}" type="presParOf" srcId="{261B3F0C-1EB9-438C-9E93-10A9C2BF6C85}" destId="{E7D4A740-148A-40D9-B32F-7FEFD7E9F2DF}" srcOrd="0" destOrd="0" presId="urn:microsoft.com/office/officeart/2005/8/layout/vList5"/>
    <dgm:cxn modelId="{8D440A0D-8BC3-4D41-8B98-E9431F5E2C56}" type="presParOf" srcId="{261B3F0C-1EB9-438C-9E93-10A9C2BF6C85}" destId="{3AFDE447-633D-4994-8C7D-C807550C690C}" srcOrd="1" destOrd="0" presId="urn:microsoft.com/office/officeart/2005/8/layout/vList5"/>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diagramLayout" Target="../diagrams/layout1.xml"/><Relationship Id="rId7" Type="http://schemas.openxmlformats.org/officeDocument/2006/relationships/hyperlink" Target="https://www.microsoftsalesspecialist.com/" TargetMode="External"/><Relationship Id="rId2" Type="http://schemas.openxmlformats.org/officeDocument/2006/relationships/diagramData" Target="../diagrams/data1.xml"/><Relationship Id="rId1" Type="http://schemas.openxmlformats.org/officeDocument/2006/relationships/image" Target="../media/image3.jpe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0</xdr:row>
      <xdr:rowOff>304800</xdr:rowOff>
    </xdr:to>
    <xdr:sp macro="" textlink="">
      <xdr:nvSpPr>
        <xdr:cNvPr id="10242" name="AutoShape 2" descr="data:image/jpeg;base64,/9j/4AAQSkZJRgABAQAAAQABAAD/2wCEAAkGBhQSERQTExQVFRUWGB0YGBUXFxkYHhkaGhcZGRchFBgYHSYgFxsjHRkaHzAgIycqLSwsFyA0NTAqNSYrLSkBCQoKDgwOGA8PGjUkHyQsLy4qLDU2Kik1MjQwLywvLCwsLCwsKSwsLSwsLCwqLC8sLywsLCwsLywvLCwsMCwsLf/AABEIAQEAxAMBIgACEQEDEQH/xAAcAAEAAwEBAQEBAAAAAAAAAAAABQYHBAMCCAH/xABWEAABAgMFAggICQkEBwkAAAABAgMABBEFBhIhMQdBExQiUWFxgZEVMlJTcqHB0QgjQmJzgpOxsiQzNDVDkqLC8GN0s8MWJUVUg9LhFzZEZKOktOLx/8QAGwEBAAIDAQEAAAAAAAAAAAAAAAIFAQMEBgf/xAA4EQABAwICBwcCBAcBAQAAAAABAAIDBBEhMRITQVFhcYEFIjKRocHwsdEzQpLhBhQjJEOi8WI0/9oADAMBAAIRAxEAPwDcYQhBEj4feCEqWo0SkFRPMAKnSPuPh5oKSpJ0UCD2ikEWeWlt5s5v83wz/oN4R2l0pPqisz3wilVPAyYA3Fx2v8KU+2M5utd1D9otSb6lJSpxTSlIICqpCgMOIEDlJG7fGvTN0bCkHMDrKnHEgVCy65kRUZVCIuDBBGQ3RLja/wAyXO6XRF3EAKjze3m0VVw8Xb9Fsk/xqP3RwN7Q7amPEfmF180yn1cG3GmS185BnKUs5IPQ22jPrQFGPdW0iaUPi5NKfSKj7Exhz2R5xtbzLR9VpFQx3hJPIE+yyxuXt58k/wCszXnU8gdlSAI6P9BbeXq3NH0plI/E7GiG+dpq0Qyj6vvWY8V2/aiv2yE9SUf8hjmd2pA3OSMdb/RbBrHZRPPS31WfJ2R2ws8pgjpXMNH7nCY9hsNtPyGR/wAUe6Lx4RtI6zQHd7ER/ONWh/vZ/r6saz25Tj/Oz/b7KWpnP+F3p91SFbDrTGiGT1Oj2iPD/sntlB5LCutEy0O74wGL8Jq0P97P9fVj++ErSGk0D2J9qIDtunP+dn+32TVTj/C70+6on+hNvI0RNj0ZkH8Lsc6hbzB/2mO15xP8yY0dF4bUT+1QrrSj/lEewvtaSdW2V/V9yxG1vacD8pIz1A+qidY3ON46LMl7S7YY8d95OejrKO4426xJSe3y0EkYhLuDfVCknvSqg7o0IbSpgD42TCvRKh/KqOWZvXZj1ONWcmvOWmlUrrmcKu6OhrmSZRg8iD9FrNSxvicRzBHsoiQ+EVnR6Ty8pt2v8Kkj74s1mbc7NdpjU6wa0o42T628Qp10iNlbhWHaClJYQ425hxHApxFBkKgLqjeNBGS2PZANrtSzdVoE4EAmlShD2ZVSgJwpJyhqIJNLulpAv8zW5slwC0ghfq6EIRULoSEIQRIQhBEhCEESEIQRfmO1m+K3hVQ0wzyV9i3ErPZRUaPtIPBWg24U4gWgaHeQVpPdkYoO2+T4O1nVDLhG23MucJwfyRqN9XvyizJgaFSST0FTavuJi6cGyaGliHNIOzYq6ruIyRmHA+qrsveRk61R2VH8MSLE4hfiqSrqPsjQZ67ks9+cYbUefCAf3hnFentlcqvNtTjR6FYh3Kqe4x5CfsGhmxY5zD+oex9VaR9oVsWBDXj9J9woWEf2ZuHPM/mXUPJHyVcknqCqj+IRFv2i8waTMutv51MuwnI9hMUs/wDDVUzGEiQcDY+Rt6XXfH2zCcJmlnPEeYupOEc0raDbniKB6ND3HOOmPPSwyQu0JGkHccFbxyMkbpMNxwxSEIRrU0hCPGZmktiq1AD+tBviTI3SODWC5OwYqL3tYC5xsF7R5vrSBVZSB86lPXEY1aL8wrBKMqWfKpp1/JT2mJ2Q2ZKV8ZOvE0FcCDXIZ5qIy6gO2PV0f8NTYPqX6vhm7y2dfJUM/bLHXbTs0+OTfPb0Xns1WA7PPZBKUihplQlZy7EiMy2PS5ftllZ+TwjyuvAodnKWO6NAu2+WrFtJ4ZHA4B1hkU9a4rXwepGs7MO+bYw/vrB/kj6AQI2y22AN9LKjpMYmE7bnzK32EIRTKwSEIQRIQhBEhCEESEIQRYN8IeRAm5V3y2VIP1F1/wAyJ+2nCuw7MdGqUNpr0hmn3oEePwipOrMm75LjiP30pV/l+uPixTjuuzXMtuEf+4WB6lCLmE3jhP8A6t53XDVi8cg4LWkPlxtK2lJOIBQJzBBHOD6/UYj03nbS4GZgFhw+LjPIX9G5orqND0RmGz2/wl3FMuE8DiooHVs1yUn5p3jt1rXW7SsxqaaKHEhaFCo9hSdx6RHFNBqH6L8jkVmKczMu3BwzB+eRXQ8tQFUJCugqp3ZH2RFTF5mEng5gKZKsqPJok9SxVB6qxSZmZm7HcCcRelVHkBWnog/s1DmGR1prS62RbktaDRAAUKctpYBI9JJ1HSMow6DQAfm3eFhlTrCWeFw2FR9o3AkpkY2xwZOYWyRT93NPdQ9MVqfupPSuaCJlscw5QHo69xV1R321ch6VJfs5xad6mQr8IOS/RVXo3CPOwdqmeCbRTdwiAcvTRqOzujY+m/mI7ECRu4jEe46FaNa2KTG8bt4yPt5hQspbrazhVVtehSrLPmrz9BoYkVKoKnIc8Td9F2c4wHnilSlD4tbRGNVOYjUD52Q64ql2LkvzaQXFLalq1FdVDdgSd3ScuYGPNz/wxBL/AFYnmNt8Qcf0nM8j5q2j7ZnjOqe0PNsCMP1bui8l2st1fBSqC4s7wMusdHSaCLHYuzLEQ5OuFavNpOX1lanqTTrMXKyLEZlkYGUBI3nUqPOpWpMd0WlNDBRN0KVtt7ji49dnILnkbJUu0ql19zfyjpt6rxlJNDSQhtCUJGiUgAeqOS8cxglJhY1S0sjrwGnriRiv3+mMFnvnnAT+8tKfbG6MaUjRvIWZSGRuO4FZ9a7hauu8RkXVhPYX0pP8KTH8+DrJUanHfKWhH7qVK/njw2kuFu70kgZcI6gnqwOuffhie2AyZRZi1n9pMLUOoJQj70mLGY/0ZDvctVO2zGDgFpcIQipXWkIQgiQhCCJCEIIkIQgizTb9K4rMQofs5hCj1FK0feod0QOzxzhLuTaPNuq9XBue0xbttjdbHfPkqaP/AKyB7YpuyFWKx7TRzYld7A/5YtIT/bg7nD2XNOLhw4FZjPzKmpta061GXOClJIMbVspvyFpTLrVyVfmifknehXs7uaMUvGmkwelKT6qeyP5YVqFlwZkJURU1phI0UOan9aRbTRNlaWOVe0ODGSszAHUbvsv1raFnofbU04kKQoUIPs5iNaxjdtWS9Zk0ChRG9pwfKTvChoTuI0MaVce8vHJcFRHCt0S508yupQ9YMd15LBRNsKaVkdUK8lQ0PsPQTFJBK6mkMb8to910VELaqMSR+LMH2XFc+9yJ1vOiXkeOj+ZHzT6u4mobTZKX4ZHBZzKzRbaBXEDoVAaL0pvMVORRMMTQQ1iTMJUUAJzNdCKHIjrypnGqXSucmV+NePCTK81LJrQnMhBOp1qrU9UdMjGUkmsac8h82LkjkkrI9U5uIzPzaom5+zdLeF6aAUvVLWqU+n5SujQdMX6ERs5aJLnF2j8ZTEtWoaSdCfnHPCnoJ0GddJK+d2k7/itIoo6dui0fupKPGcnENIU4s4UpFSfcN53U3x/WWQhNBoN5NSecqJ1O+sVWQnPCM2VjOUllcnmde3KPOlIzHWD1QYzSudgzU5JNGwGZy+cFZLOW4pONwYSrMN+QncFc6zqdw0FaVOX7S7zcM9xdB+LaPK+c5v7E6ddYv98re4pKrWDy1chv0jv7BU9kfnmXneFmXADUISR1qKhiPqpFp2dDdxlI5Ks7QkOgYmnZc+3mrnttd4OQstjnBV+40hP+ZF52MsYbGlqihVwiu95ynqpFC+EGaKkEeS256y0PZGobOWsNlSQ/sEH95OL2xomP9s3iSfqrJgsbcFY4QhFctyQhCCJCEIIkIQgiQhCCKpbWGQqx5wHcgH91aSPujPNhS8UtabfzUn95Dg9kaVtMH+qZ36FUZn8H8ZWiOdtr/OixhP8AbP5j2Wp+fRZveYfHj0B96oiomLzj41HoD7zEPF8c1X034TeS0bZbe0sOoKjyRRDnS2dD1p9nTGv31vYZdKWWOVMO5JAzwg5A03k7h7o/Nt3MXDjDpQ4ur/8AaR+g9n11ykCcmKl1QHBhWZSilATXeUgAcw6zFdWMjBEr/Lfu/dQbrA90MeRxvu3+exdd2but2eyuZmVAukFTjijXCDmQk7yTqdSeyJixCt78pdBTjHxTZ/ZoOhV/aK1PMKDcSa0qd8JzwaTnKSxxL5nVg8mvOmoNBvCSd4pc7QnkMtLdcNEIBJPVzc5OlIrJtK/e8R9NwXXBoW7uDG+u8qJvZeTirYSgY33ThaRzqOVT0AkdZIEdV3rH4u1RSsbqzjdcOq1nXsGgHMBFNuUlc/POTzo5LfJbTuSTXCB6KST1rrF8tS0UsMrdX4qEknp5gOknLthMzV2iGe3nu6JA/W3mdls5b+qp+0u8hQgSjWbjo5dNQg5BI6VadVeeLPduxxKyzbI1SKqPOo5qPf6ozG5rKp20+GczoS8rmqKBAHUSmnQmNYtKdDLLjqtEJKj2CsbalmqDYBnmeZWmkfrXPqHZZDkFju2O81XVIScmRgT0uKzUezIfVMZ5cpurqhz4B3qMfN8bQLjoBNSauK6VLJ/698dOz9NZj67Q/jMXcbBEwNGwLkdd0LpDm436XFvRWv4Q7n5bLjmlye9xXujY7mM4LOk0nVMs0O5pMYn8IJytpNjmlk+tx33RvFiJpLMDmaR+ARST4U8Q5q6b4iu2EIRXrYkIQgiQhCCJCEIIkIQgirW0r9Uzv0KozP4Pv+0fo2v86NJ2oLpZM79ER3kCM02AGibSPM219z0WEP8A8z+Y9lqfms7vP+cR6HtMQ4ETF6D8anmCBn2mP7dazi66FAVwkBI51qySB/W8R6A5qrieI6cOO5aHsquOHVguCrbdFO8ylfJR0gb+gfOi+7Srz8A0Jds0cdHKI+S3oeoq06q9ETNkSLdnSPKOTaStxQ3qpVVOfmHUIy+zQq0bRSXM+EXiUNQEJzw9WEYe2KlpFRKZXeBmXz1UZS6GMRjxvz+ei0q4VicWk0VFFufGL7RyR2JoOusVbapeCqkyiDkmi3OvVAPUOV2pjRZ2bS00txWSUJKj1AVjCmMU3Npx1Kn3Ri6ApWdOgD1CNdE3Wyumfsx+clKvdqomwM24fOa1649l8BJNJIopQ4RXWvPPqFB2RWNrFtUDcqk6/GL6qkIHeCfqiNEAplGE3stLh5x9yuWMpT6KeSKddK9sRoW66cyO2YqXaD9RTiNu3BXbZHI0bfe8pQQOpIqadqvVEptOnuDkSkaurSjs8c+pNO2OjZ1LYLPa51FSu9Zp6gIru2KaomXRu5az9UJA+8xgf1azr9P+KRGqobDd9f8AqwG1HsbzivnEdg5I+6LBs8P5Qn6Vr8cVqVlVumiElR1PMK853Rbbq2cuXcC1UUcSFYU1PiKrF2RcFaqlzGR6F8cMOoUr8ID9Zo/uqP8AEdjfLH/R2fo0fhEfnLbBb6JycQ6hK00YCCldNQtZyoT5Ufoi7b2OTlleUy2e9CTFHVtLYYweKtI3h93NyUjCEIrVuSEIQRIQhBEhCEESEIQRUvbG+U2NNU34E/vPIB9RjItl13JmbS+GThRiSFqKylOhpUDNRzO6NR25PYbIcHlONj+PF/LET8Hhv8imVc8xTubR74tIJDFTFwzv9lzTRCXuOyXo/siew5PNqPklKgO/P7og7Ds5NmzzfGmuDSFFWQFKkUCxTJQGuWY9UbdEHfGwkzUqtNOWkFTZ3hQFe46HrjEde9x0JcjhuXHLQNYNKHAjG2YNlWNqtu8huWQa46OLp5I8TsJz+qI5dklnVcefI8VIbSelRxK9SU98UJ19S6FRJokJFdyUiiQOgCNe2ZSeCRSqmbi1LPfhHqTHVUMFPS6A2lcVNIaqr1h2Bee1C0eDk8A1dWE/VHKP3AdsUfZzK47QaPkBS+5JSPWoRMbXJqrzDfkoUr99VB+Ax4bJ2azbivJaI71p90Ihq6Inff7LMztZXtG4j7rS7Zm+Cl3nPIbUruSTH59jcb8u4bPmDzop+8oD2xh0Z7Kb3HHisdsO77W8FvF00UkZUf2KD3oB9sULbGCpxlI80r1mnsjRLAH5LL/Qt/gEZ/tdT8bLnnQodyh744qM3qvP3XfW92kw2W9lWdn9yxMOcGKpabALihqa6CvOqhz3AHojarPspphIQ02lCRzD7zqT0mKdsjpxd/yuFz6sCaevFF8jFfM50pZsCl2fE0RCQ4udiSsG+ENL0m5ZVPGZUK89F/8A2jW7grrZcif/ACzQ7m0j2RmHwjEfGSJ50vDuLR9saFsqmg5ZEmobm8HahSkH1phLjSxnifddrfEVa4QhFetiQhCCJCEIIkIQgiQhCCKjbYLqzE/IpblglS23Q6UE4SoBC00RuKqqBoSNNYx24+0OZshxbKmyporq6wsYFpVQAlJIqlVAMjkabtY/TcVi+ezuVtJPxqcDoFEvoACxTQHy0/NPOaUOcdsFQ1rdXILtUHNxuF13VvnK2g3jl3KkAFbaslor5ad3WKg0yJj4vFfCXlgpC1guYTRtPKNaZYqZJ7aR+fry3KnrHeDoUoJB5E0ySBrkF0zQT5JyO4mO2495JVb4TaSlJSdFiuFSif2xHKSOkdpAjpbRRYyB127hmuaaSWwbGBfivURt9yJ1pcmyhtaVFCEhYGqVUzqDmM6x0S135JbYwMS6m1CoKUIUFDcQQM+uKnee6Jkzx2RJbLea26kjDvIr8nnScqaUpGZqhlXaPwnZ+64IaaSiJk8Q27+igtqLlZ+nM0getR9sSGyIfHP+gn8RisXotkTUwXgKYkIqOZQSAoDnFa5xZdkavj3xztj1K/6x1zMLaPRO4fVccLw+u0hkSforbtGP+rn/AKn+KiMXja9oSK2c/wBST3OJMYpEey/wjz9gs9rfjDl7lbjYlqNtyMst1xCAWW81KCc8A54om062GZhUuWXEuYQsKwmtKlFPuPdHhda4bk4lLry1IapRJ1UoDyK5JT0+qLbN3Cs1houPDChI5Ti3lpp10UB6o5RqaebS0iTjkuwioqodENAGGaoNzbzmSfxEEtrGFxI1y0I6RU95jQLw7U5GVYDvCh1ShyGm6FZ9IGnBgbyqnacow+995ZbhSmzy5we9x0a/RggEDpVnHpcnZdNWkoOmrTBPKfWDVY/sknx/S8XpNKR1VMMMlpX4b1soY5oQWOy2LnvReqbtuZbSGqlNQyw0MWHERiJVqa0TVRoBTdnG+bNrvuyVnMy7+HhE4yQk1AxuKWBWmZGLOmXXHVdS5ctZzeCXRQkDG6rNa6eWr2CgG4ROxV1FQHgRsFmhWbW2xKQhCONTSEIQRIQhBEhCEESEIQRIQhBF5vsJWkoWkKSoUUlQBBB1BByIjIr87CkqxPWdRCsyZZR5Kjr8UonkH5p5PSkRsMI2xTPiN2lYIBzX5cu/e+fsd4tcpIB5cs8DhOeZSPkk+UnXLWNpuvtUk7RbLaiGXikhTLhGfJNeDXo4NeY9EWC81z5WfbwTLYVTxVjJaPQWMx1aHeDGGXz2LzUpicYrNMa8kfGJGfjoHjUHyk9wiwD4anxd129aiHN4hfxOkXHZW9SeI8ppQ7QpB9hjIbPvEtFAr4xPTqOo7+2NA2dW82Z6XUlWqsBScjy0lIqOsiLeoGnC4cF5yOmkp52uOV81sl4bNdmWVspLaErFCpQKj2JFAOup6ozK29nUzLpKwEvIGZwVqBvqnWnUTF5vdtLk7PBS4vhHdzDdFL+tnRA9IjorGI3s2rztoHg0ksNKNAyySVKrQALWOUs13AAGukVFFrx4fDx+XV1VUsU2Ls1e3dvLTLJQJcKdSAlKW1ANimXKOqaeSK9kZrP2taFtzATy316pZbybb6aE4Ua0xqNemLRczYa/MYXJwmXa14MU4VQ6dzXbU9AjbrCu7LybQalmktp30GajSlVqOaj0mJSTQQE6oXK3xsdogOKz65Gw5lijs9hmHdQ1SrSOsH86evLo3xqSU0FBkBH9hFZJK+Q3cVvAAySEIRrWUhCEESEIQRIQhBEhCEESEIQRIQhBEhCEESEIQRU2+GyuTn6rKeBfP7ZugJP9onRfWc+kRid69l87ZxLuEutI5QfZryaZ1WkcpulK1zA54/T0I64auSLDMblBzAV+bLpbHp2dIcdBlmjmVug41Z54Wzn2qprXONsuls6k7OFWW8TtKF5yilnnodEDoSB2xZ4RiaqklwOA3I1gCQhCOVTSEIQRIQhBEhCEESEIQRIQhBF8uOBIJJoAKkncBrWM2tHaNMPu8FIt5blYcS1U30OSE9dezSLffgq4hMYdcGfo1GL+GsVjZChGCYOXCYkg8+Chw9lcXdHfTsY2J0zhe2ACrql73TMhabXxJXrYT1riYa4wFcEVcuoZyFD5GYiU2h269KsNrZUEqU5hJKQrLCo7xzgR6zV+W0TvEy2srxJRj5OGq0pUN9flRFbXP0Zn6X+RcSYC+dmmwAH1UHkR08mg8kjacwoRN+bRlw068lK2nRiTiSkYhkeSpHimh3jsjSmp4OMB5Gi28aa8xTiFYxx2eemuKSbhQ0hISlBIIqFJASpR31GlKDPu2FuTDMsGk+K21gHUlNBXuiVaxrQ3AA45btijQSPeXYktFs877Vmdk3utSZJDJDhSAVUQ2KV08akaJdlyYMukzQo9VWIcnTEcPi5aUjJLoGdxL4jXFhGOnB6VNPznTXSNhsIvcXb4x+ew8vxdfq5d0Zr2tYbNDRyz6qPZz3PxcXHnlnsUXfq8JlJYqQaOrISjfTeo0PMB3kRLWNaaZhht5Oi0g05j8odhqOyM1vW/x+0uASsJbaCkBRIABAJWc+dQCfqxIbKbZILkqvUctA9Sx30PfEX0oFOHfmGJ5FTjqy6pLfynAcwvS8dr2qy48tIpLoUcKilo8iuW/Ee6I6zLy2tMpK2AFpBwkhLQoaA05VNxEXe/P6vmPQ/mEQeyT9Fd+mP4ERJkjdQX6AuCBkoyRv8A5kR6brEE5q7tVoK60FevfEdeWdUzKPOINFoQSk0rmOgxJxC3z/QJn6MxXxi72g71ZykiNxG4qi2XeW1plJUzRaQcJIS0KGgPyqbiI0myVOFhovCjuBOMZeNTlaZa80ZLdO1Z5ppYlGuEQV1UcBVRWEZVBG6kabb9tcWk1PK8fAAB89QoBTrPcDHfWR98MaBnhbPqq2hl7he9xOGN8uih5a+mK1FS1RwWHg06fnU1Ks+nNPWkc8XCMEMmtDLU2FjEp00zBUCmhSojpUFa8w5422xLUTMy7byflpqRzHRQ7DUdkQrKdsYa5mWR5hToal0pc1+eY5FVCQvXMKtYyxWOCC1pw4U1olCiM6V1Ai+xlVk/r5X0rv8AhrjVY11bGtLNEflC2UT3PD9I37xVBuveyYetFxhxYLaS7QYUjxVUTmBXSL444EgqOgFT1CMsuP8Ard7re/HGpuICgQdCKHqMZrGNbIABbAJQvc+MlxublZeL8WhNuqEmgBIzCQlJITuK1Lyr1U7Y0eyFuFhovCjhQkrFKUVQYshpnGVTUrMWPNY0cppWQJ8VxOuFfkqH/UVFRGqWRaiZhlDyPFWK0OoOhB6QQR2RsrGNDWmMDR2Hb1Wqhe4uc2Rx0toOXMLshCEVytF8PMhaSlQBSoEEHeCKEGMznLizkm8XZFRUndRQCgDuUF8lY/qkafCN8M7or2yOYK556Zk1tLAjIjNZVZl3J9yfbmX2iDwiFLWSgZJAGgPMBoItG0axXplhpLCMakuYiKpFBgUPlEbyItsI2Oq3F7X2HdyWptExsbo7nvZlZ7b9x3HpGWKEflLLaUKRVPKFMxirSqTmM+fniy3dVMqlCiZbKXUpKakpOMU5J5JOe413iu+Pe8N5WZNAU6TVXioTmpRGtBzDnOWcUpW1d5RPBywIHzlKPbhApG1rZ547aOF7g5dFpc6np5L6WJFiM+p4qNsW71qypUWWikqACuUydNNVGL3Zz06JBZdRimuVhTVA1NEaHDQa67olJW1AZZEw5RALaXFZ5JqkKOfbFItDa1y8MuxiG5SyQT1ISMh29giRdLVHBgwOJ/e6iGw0gxebEYD3tZctgbL1OpWqbLjSsXJSlSCSKVJUeVqT6o+XLkTMnONuSqFPNoIUFFTYOdQtJqRurnTfEzd7ae28sNvI4IqNErCsSSdwVUAp9Yi027aJl5d14AKLaSrCTStOmJSVFSx+i8Z7NijHTUr49KM5Y32/Oi571Sa3pN5ttOJak0CagVNRvJpEVs5sV6Wl3EPIwKLmICqTlgSPkk7wY7LmXnVPNLcUgIwrw0BJryQd46Y67z2yZWWW+EhZTh5JNK4lhOvbHL/UaDT2zPquu0biKm+AHopWIu88mt2UfbbGJakEJFQKnrOUeN0rfM5L8KpAQcRTQGulN564/t7LeMnLl5KAshSU4SaannEa2se2QNtjdbXSMdEX37pHoovZzYr0sw6l9GBSnMQFUmowJHySd4Mce0OyJubW00y0S0nlFWJAGM5ZgmvJFd3yjEejalMKFUylRzgrI7wmNEdmEoQVrISkDEonIAAVNY6ZDLDLrXAXPX3XJG2GaHUscbDp7KhzeyVoNqLbrpcCThBwUKqZA8mtCemO/Z1Z01LocZmGihFcaCVIOZyUOSo03HviPtHawMeGWZLg0ClEjF6KAK95B6Ikrp3zemnyy6wG+QVg8oaKSNFD50bZP5kxESDDPHNaov5UTAxGxywyKrlo3atBE+7My7R/OKKF4m9FAjRSuY7xFwueueId46KeLg/N/OxeJ2axyXyvuuSdQhLSV4kYqlRFMyNwjwu7fp+YmENLluDSqtV8rKiSRqkDdSIv10sIJaLWz24dVmPUwzloeb3y2XPRVtN27SZmnX2GiCpa6KxNGqVKJ0UreKRdrsmeLD3GxR2p4PxNMGXiZeNzxY4RolqjILFo57V0w0Yiddrjy2LJ7Rsm1psIafQSlJrUlpIrSlVFJzyJ059I0W7dj8Vlm2a4ikGp51ElSqdFTEnCIy1LpGhlgANgUoaVsTi+5JO0pCEI5l1pCEIIkIQgiyO/ZL1qhpZITVpsdCVYSoj9490arJySGkBttIQlIoABT+uuKXtDua4+pMwwMSwMK0DIqA8Uo6Rzb8qaZxMptFnWkht2XxqGVVJWhX1hTM9VItXsNRCwRnIYjLqqdjxTTyGUZm4OfRTW1iZUmVbQDQLcGLpCUkgHtofqxI7PrKbakmlpAxupxLXvJJNBXmGlOvnj1tiyPCEggL5DikpcTUHkrw1oQcwMynnoYo1mW5PWYCwtkqQCSApKiBU58GtORB1p07ojG3Wwapp7wOI3qUjhFUa54u0jA52XftZsptPBPJAStZKVUyxACoJ5yNK9IienZlTliFajVSpYEnnOEZ9sVIWfO2s+lTqS20nLFhKUpTXPAFZqUfYNIvt6JQJs55ttJolrClIFcgAAAIzKQxsUZNyDjw4KMQL3SytFmkYceKgtkf6M99N/IiJTaP8Aq57rR/ioii3XvJMSTa20yqlhSsVSlYpyQNw6IuV7H1v2QV4CFuJaUUAEkErQSKUrl7IzNGW1Ieci4JDIHUhjGYaV87Lf0H/iK9kfe1D9AP0iPvioXbvXMybPBJlVLGIqqUrGtOZPRFsv/ids0EJJUotqKQCSK5nLXKMPjLaoPORd7rLJWvpCwZhuKrVz72zDLbLCJfG3jpwlF6Kc5RqBTKp7osO1aaUmTQkZBx0JV0gJUqnekHsit2BfGZlJdLKZRSwnEakLBOJRVoE9MaDeOwxOSpaJwqNFJV5KhmOzcegmMzWjqGvc2wvvvfiowaUlM6NriTbda3BQ2zKzG0yaXgkcI4VYlb6JWpIAO4UFac5iakL0yzzymW3MTicVU4FimE0VmUga9MZ3ZlqT1llTSmSputaEKKa87a05AHm9Qzj12dNuKtBbpbUkKS4ScJoCpQNKkf1SE1NpGSVxuMxiswVWiI4mtscnYeq/u1z9IZ+i/mMWS6l7piZe4J2X4JIQVY6LGYKQByhTOp7ogdq0otcw1hQtQ4PVKSflHmES93r8TD8w2yuVKEqqCui8qJJGopqKdsSc3SpWWANgduSi12hVvuSLkbL3+yu8IQioV0kIQgiQhCCLi8NMefa+0T74eGmPPtfaJ98dHFkeSnuEOLI8lPcIzgi5/DTHn2vtE++Hhpjz7X2iffHRxZHkp7hDiyPJT3CGCLn8NMefa+0T74eGpfz7X2iffHRxZHkp7hDiyPJT3CGCwufw0x59r7RPvh4al/PtfaJ98dHFkeSnuEOLI8lPcIYLK5/DTHn2vtE++Hhpjz7X2iffHRxZHkp7hDiyPJT3CGCLn8NMefa+0T74eGmPPtfaJ98dHFkeSnuEOLI8lPcIYIufw0x59r7RPvh4aY8+19on3x0cWR5Ke4Q4sjyU9whgi5/DTHn2vtE++Hhpjz7X2iffHRxZHkp7hDiyPJT3CGCLn8NMefa+0T74eGmPPtfaJ98dHFkeSnuEOLI8lPcIYLC5/DTHn2vtE++Hhpjz7X2iffHRxZHkp7hDiyPJT3CGCyufw0x59r7RPvh4aY8+19on3x0cWR5Ke4Q4sjyU9whgi5/DTHn2vtE++Hhpjz7X2iffHRxZHkp7hDiyPJT3CGCLn8NMefa+0T74R0cWR5Ke4Qhgi9Y5bTYK2VpStbZKTRaKYkkZ1TiBHeDHVHJar6kMuKS2txWE0QjDiUTkKYiB3mAzRZDs42mzCCo2m6pTTrC3mHFBI/MqWl1KcIFVHCeTryR5Qjo2dXmn5u0iJp5xDKmFTjbKeDpgU6lLYUcGIooonUE0SY6bvbNTN2VLSk6yth2VdKsRwHGhbqluJQUKJAUk4c6UUAaGkS0pZ76beU+JR1MtxbigX8VQUcCgrCF1DdE0GVdMosHujOnYC/2ytzWsXXHc+dmba4xMmcflmEOlplqXwJNEpSrE4paFFRIUnLnrHxZF4ptbdqSL76hMSSStuabCEqWkBSkY0lJTuTXLMLI1FY+7oWfNWKZiW4m7My63S6y6wWyeUAnC4lakkEBKc+uPmx7tziGrUnn2FGZnUqQ3LIUgqQggpRjUVBO9Nc9E85pETo3da1sLZcPa97rK4dn965t9t6UnH3EvOsJmpZ5ODFg3gVTh1ToQfl81YkbmIn5+zpJ7jryS664p9wcEFJQguNoS0kt0zUlJNQdT0CI9+6k4bNkXWZdbc/IfFhCyg8K2oYXAkpXQporeQcljfFu2aWa9J2Qw080oOthwloYSrN1xSQM6VII374SlmiXNte+Xn6ZIFT7vKtKdRaKWrQeDss+ppkEMhKglRHxtG61IGop1RMbQbZnHJrilnulpbEs5MulKQrFoGm6nIFWfeDuj42cSk1KuWgp6TfSH3VzDebJqKqIQaOZLNQB8nnIjlurc9yYfnZi0JeaZddcK0lt/AC2AAhHxLoxKAy5QpQDPWMEtDy7Cwyy22RWWRt4z9jCZbdW04WSorbw1S42DjHLSRQqSRpmDlTIxUNnl7Jt9LspOPrDrzCZqWeTgxYPlBPJw5FOhB0XH9ufZ87JM2hLcQmDLvFapYYmSpGNJThcq7llgzBOYVzx8vXTnDZkk41Lran7POFKFFB4VtWTgSUroUkHeQclga1jOiwaTcLE4HDD5kUxVl2f28sWPx+cfW6SlbqyoJASlsqFEBCRuT0kk9kQFzL1TyJ2UM67iZtJpbjKKABpeLEhIIAqODw6+cA3VPLNWDPiw5Sz0SjpUpRMzhU2ClsPKVhSSsVUrknmprrHvfe4CgxKrkGJxUyhaXEY38aWcOE4VpddISa08Svia01yAy5BtiTuw3ckxWuRj13bymZfm2rQn35OaDpQ0yFhlCE0GDDVNFqqflE1AB3xq9lzS3GULcbUytQ5TaiklJ0IqkkHoNdKRm1vSc1OSS2JuylvTeFaW5gGWCQSTgUFhwKRQYSUgUOHONENsQ7zww8/VZKnjYloFpkuTq2+DljwpZ4NRceBqDVxsjDSugBPREJs9VaE5Kyk4Z1xVXjw7Sw2EFpKlp5GFvFiqE5E010izWLZj8lZDbCkqmXm2sGFBRUlRNAlThSMKAQKk6J3nKK7cuVn5KxnJcSbgmkYuCGNkpUXFKIUCHMgjUg0rlSu6QI0XAWzwy4ooq8N9JwTD8+y6RISk03LraAycAyfVWlclKSkU1xDmztl7ZebKZmbanHGmG5XhGkNcGcbiQ4tRXjbVySMGhzz0ir2bsva8EqS9IzPG8JSUiYFVOGhDiEh/gsIJB5VDyDkcqy1iy8+mwnJN6Uc4wllTDYC2aLSpKkoNeEoAgUBrnkKVib9DDR2G2zL59VjFfVxWJ6ZYkZtU66tDgc4w0oNAUwuobLWFsGoXgNCT6qGv2BeRxx6bambWmG1NTXF2EJ4tjcBdLaSUFolWdKlNAM4u+zaWfl7NbYfl3G3GAoYSptWOqlKHBlCyN9OVTPvioXasaZZXOqmLKfdD81xlujkuCgpcLiMSuFBBCsOlQaEZiMXbd/plvTctNsCXeblmkTCw48lNFuD5Rqc9BTKkSERl2nX1SrSppOB8glaeTyTiNBVORoKZiJOON2ZU0hCEYRIQhBEhCEEVfvvelVnypmeB4ZCFALGPAQFEJBHJOLlECmWtd0R9uX6dlLPRPOSgoaFbYfBKErIDfKwUUTUVA05zrHntjl1LsaaCQSQEKIHkpdQpR6gAT2RWr+3hl5mwWmWHm3HnhLobaSoFZUFt1BSDUEUINd8dUUbXBuH5rHlgokqyXy2gu2c0w45J4+FABCHgSlyhUU+JyhQeMO4R9WxtF4JmTfZl+HbnFIbbPChBDjlcKVApOWRBNciNI5dpb6UvWSFKSPy1FQSBlhUDWu7OnbFCtasnOS9lEHg0WnLzUqd3AuKUFJHQlZp0nFE44mvaMMcT85LBK0i8l+3pSZlpbigcXNZNkPhIxjDjC6t5BJUOVnUbt0eiL8OeFPBypUJVh4QOl4UU3zoTgqVVqMOXinOK/tKm0JtixcS0jC65iqQKYi0E15qx1bVWjLuSNqI/8K8EukZ/Eu8lRO808UU85EWxtIaLZg788bLN1Lrvo8bRXIIlAtSG+F4Th6JCNEY/iyUqJpyc9a5xG2PtImppLqmLNUvgXC0v8qaTRadQMQFY/uy9PDGdtNdPyt9XBk5UYZqhutdDka+iIpNy5dpzjLq58MJatIP8EpxsNuIbcS5iIIxEkCgIVTIZRIRs7wtlbfntWLlXu2NpDjDUk6JMrE4EBA4YJKXHACEKCkdI5XXkN8hYd+C7OKkpiWXLTAb4UJK0OJUitKpWg69FNxim7TrbbmWbHeSss8NMNuipTjbSoDlEGo5NRrUVjpsP8lvEtuYe4wp+VSWH3MIUBiPISEAINcKzkB4o6a41TSy9sbHfsKXxU1IbQ3pvh1yMlw7LCyguLfS0XFJzPAowqrkQRiKa4hpnT5tnaYpiWk5lMqXG5vAE/GhKkrWCUpUMJFKDxqxUZqVZbln7VsqdXJmq1uSrikKQpaVEFPB1ISpRHJ8bJQpQGPS/9vGYs2x33sDbjkw06pNaADCqqgCahOh6KjOJ6ppcLDC9tt8vmSXV4te98yy4lpEiXViXD7pS+lKW81BSQpaRjoU7gCeYRG2FtLfmky7iJBQamFqbQ6X0kY0pWaLSE4kglBFSKeqtttyaQmUeWVJCeCWcRIpTAd+kVLYe6k2OwAQSlTlQDmKurIqN2UaAG6su0doG3is7V9SG01a2Z9a5TglyI+MaW+MRIrWlEUAoDhOYUcumLFdK3nJyWRMLYLAc5TaSsLKkEApUaAYa7hnlQ76Rnu0ax2FWzJIUvAmb5M0gKADiWVIW1wg6SAmp3JFI1tKQAAMgNKQlDA0Fozx+dUF1/YQhHOpJCEIIkIQgiQhCCJCEIIvOY8RXUfuj877Kf18vrd/FCEWFJ+HLyWt2YUrt5/TUf3X/ADHIldoP6wsb/g//ACGYQjoZ4YuTvooHM8wvTaL+mTHoJ/w4t20z9SzX0SfxJhCObbF09lPeuW7f/dxv+5q/AqMyO6EI2w+J/NYdsVgt7SV/ubf3ridmv0myPomvZCEQOQ6oFklpfrtP0yfvjV9pH6U39APxrhCOiXxx8lgZFSFtfqFj0Jf8TcfGyzx5rqa/zIQjjP4Tuf2UtoVe2hfpk16Kf8JMbA3oOqEIhN4GfNyy3Mr6hCEcqmkIQgiQhCCL/9k="/>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257175</xdr:colOff>
      <xdr:row>21</xdr:row>
      <xdr:rowOff>57150</xdr:rowOff>
    </xdr:from>
    <xdr:to>
      <xdr:col>0</xdr:col>
      <xdr:colOff>2124075</xdr:colOff>
      <xdr:row>32</xdr:row>
      <xdr:rowOff>161925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4476750"/>
          <a:ext cx="1866900" cy="2447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1076325</xdr:colOff>
      <xdr:row>0</xdr:row>
      <xdr:rowOff>76200</xdr:rowOff>
    </xdr:from>
    <xdr:to>
      <xdr:col>6</xdr:col>
      <xdr:colOff>114300</xdr:colOff>
      <xdr:row>3</xdr:row>
      <xdr:rowOff>152400</xdr:rowOff>
    </xdr:to>
    <xdr:pic>
      <xdr:nvPicPr>
        <xdr:cNvPr id="5" name="Picture 3" descr="dandh Distributi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96275" y="76200"/>
          <a:ext cx="9525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34</xdr:row>
      <xdr:rowOff>85724</xdr:rowOff>
    </xdr:from>
    <xdr:to>
      <xdr:col>6</xdr:col>
      <xdr:colOff>914400</xdr:colOff>
      <xdr:row>61</xdr:row>
      <xdr:rowOff>85725</xdr:rowOff>
    </xdr:to>
    <xdr:graphicFrame macro="">
      <xdr:nvGraphicFramePr>
        <xdr:cNvPr id="6" name="Diagram 5"/>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0</xdr:col>
      <xdr:colOff>0</xdr:colOff>
      <xdr:row>65</xdr:row>
      <xdr:rowOff>0</xdr:rowOff>
    </xdr:from>
    <xdr:to>
      <xdr:col>1</xdr:col>
      <xdr:colOff>447675</xdr:colOff>
      <xdr:row>69</xdr:row>
      <xdr:rowOff>190500</xdr:rowOff>
    </xdr:to>
    <xdr:pic>
      <xdr:nvPicPr>
        <xdr:cNvPr id="7" name="Picture 1">
          <a:hlinkClick xmlns:r="http://schemas.openxmlformats.org/officeDocument/2006/relationships" r:id="rId7"/>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10696575"/>
          <a:ext cx="20288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Elemental">
  <a:themeElements>
    <a:clrScheme name="Elemental">
      <a:dk1>
        <a:sysClr val="windowText" lastClr="000000"/>
      </a:dk1>
      <a:lt1>
        <a:sysClr val="window" lastClr="FFFFFF"/>
      </a:lt1>
      <a:dk2>
        <a:srgbClr val="242852"/>
      </a:dk2>
      <a:lt2>
        <a:srgbClr val="ACCBF9"/>
      </a:lt2>
      <a:accent1>
        <a:srgbClr val="629DD1"/>
      </a:accent1>
      <a:accent2>
        <a:srgbClr val="297FD5"/>
      </a:accent2>
      <a:accent3>
        <a:srgbClr val="7F8FA9"/>
      </a:accent3>
      <a:accent4>
        <a:srgbClr val="4A66AC"/>
      </a:accent4>
      <a:accent5>
        <a:srgbClr val="5AA2AE"/>
      </a:accent5>
      <a:accent6>
        <a:srgbClr val="9D90A0"/>
      </a:accent6>
      <a:hlink>
        <a:srgbClr val="9454C3"/>
      </a:hlink>
      <a:folHlink>
        <a:srgbClr val="3EBBF0"/>
      </a:folHlink>
    </a:clrScheme>
    <a:fontScheme name="Elemental">
      <a:majorFont>
        <a:latin typeface="Palatino Linotype"/>
        <a:ea typeface=""/>
        <a:cs typeface=""/>
        <a:font script="Jpan" typeface="HGS明朝E"/>
        <a:font script="Hang" typeface="맑은 고딕"/>
        <a:font script="Hans" typeface="宋体"/>
        <a:font script="Hant" typeface="新細明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Palatino Linotype"/>
        <a:ea typeface=""/>
        <a:cs typeface=""/>
        <a:font script="Jpan" typeface="HGS明朝E"/>
        <a:font script="Hang" typeface="맑은 고딕"/>
        <a:font script="Hans" typeface="宋体"/>
        <a:font script="Hant" typeface="新細明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Elemental">
      <a:fillStyleLst>
        <a:solidFill>
          <a:schemeClr val="phClr"/>
        </a:solidFill>
        <a:gradFill rotWithShape="1">
          <a:gsLst>
            <a:gs pos="0">
              <a:schemeClr val="phClr">
                <a:tint val="90000"/>
              </a:schemeClr>
            </a:gs>
            <a:gs pos="48000">
              <a:schemeClr val="phClr">
                <a:tint val="54000"/>
                <a:satMod val="140000"/>
              </a:schemeClr>
            </a:gs>
            <a:gs pos="100000">
              <a:schemeClr val="phClr">
                <a:tint val="24000"/>
                <a:satMod val="260000"/>
              </a:schemeClr>
            </a:gs>
          </a:gsLst>
          <a:lin ang="16200000" scaled="1"/>
        </a:gradFill>
        <a:gradFill rotWithShape="1">
          <a:gsLst>
            <a:gs pos="0">
              <a:schemeClr val="phClr"/>
            </a:gs>
            <a:gs pos="100000">
              <a:schemeClr val="phClr">
                <a:shade val="48000"/>
                <a:satMod val="180000"/>
                <a:lumMod val="94000"/>
              </a:schemeClr>
            </a:gs>
            <a:gs pos="100000">
              <a:schemeClr val="phClr">
                <a:shade val="48000"/>
                <a:satMod val="180000"/>
                <a:lumMod val="94000"/>
              </a:schemeClr>
            </a:gs>
          </a:gsLst>
          <a:lin ang="4140000" scaled="1"/>
        </a:gradFill>
      </a:fillStyleLst>
      <a:lnStyleLst>
        <a:ln w="12700" cap="flat" cmpd="sng" algn="ctr">
          <a:solidFill>
            <a:schemeClr val="phClr"/>
          </a:solidFill>
          <a:prstDash val="solid"/>
        </a:ln>
        <a:ln w="19050" cap="flat" cmpd="sng" algn="ctr">
          <a:solidFill>
            <a:schemeClr val="phClr"/>
          </a:solidFill>
          <a:prstDash val="solid"/>
        </a:ln>
        <a:ln w="28575" cap="flat" cmpd="sng" algn="ctr">
          <a:solidFill>
            <a:schemeClr val="phClr"/>
          </a:solidFill>
          <a:prstDash val="solid"/>
        </a:ln>
      </a:lnStyleLst>
      <a:effectStyleLst>
        <a:effectStyle>
          <a:effectLst>
            <a:outerShdw blurRad="63500" dist="12700" dir="5400000" sx="102000" sy="102000" rotWithShape="0">
              <a:srgbClr val="000000">
                <a:alpha val="32000"/>
              </a:srgbClr>
            </a:outerShdw>
          </a:effectLst>
        </a:effectStyle>
        <a:effectStyle>
          <a:effectLst>
            <a:outerShdw blurRad="76200" dist="38100" dir="5400000" rotWithShape="0">
              <a:srgbClr val="000000">
                <a:alpha val="60000"/>
              </a:srgbClr>
            </a:outerShdw>
          </a:effectLst>
          <a:scene3d>
            <a:camera prst="orthographicFront">
              <a:rot lat="0" lon="0" rev="0"/>
            </a:camera>
            <a:lightRig rig="glow" dir="tl">
              <a:rot lat="0" lon="0" rev="19800000"/>
            </a:lightRig>
          </a:scene3d>
          <a:sp3d prstMaterial="metal">
            <a:bevelT w="38100" h="38100"/>
          </a:sp3d>
        </a:effectStyle>
        <a:effectStyle>
          <a:effectLst>
            <a:outerShdw blurRad="114300" dist="114300" dir="5400000" rotWithShape="0">
              <a:srgbClr val="000000">
                <a:alpha val="70000"/>
              </a:srgbClr>
            </a:outerShdw>
          </a:effectLst>
          <a:scene3d>
            <a:camera prst="orthographicFront">
              <a:rot lat="0" lon="0" rev="0"/>
            </a:camera>
            <a:lightRig rig="threePt" dir="t">
              <a:rot lat="0" lon="0" rev="19800000"/>
            </a:lightRig>
          </a:scene3d>
          <a:sp3d prstMaterial="plastic">
            <a:bevelT w="50800" h="50800"/>
          </a:sp3d>
        </a:effectStyle>
      </a:effectStyleLst>
      <a:bgFillStyleLst>
        <a:solidFill>
          <a:schemeClr val="phClr"/>
        </a:solidFill>
        <a:gradFill rotWithShape="1">
          <a:gsLst>
            <a:gs pos="0">
              <a:schemeClr val="phClr">
                <a:tint val="95000"/>
              </a:schemeClr>
            </a:gs>
            <a:gs pos="100000">
              <a:schemeClr val="phClr">
                <a:shade val="40000"/>
                <a:satMod val="180000"/>
              </a:schemeClr>
            </a:gs>
          </a:gsLst>
          <a:lin ang="5400000" scaled="0"/>
        </a:gradFill>
        <a:blipFill>
          <a:blip xmlns:r="http://schemas.openxmlformats.org/officeDocument/2006/relationships" r:embed="rId1">
            <a:duotone>
              <a:schemeClr val="phClr">
                <a:shade val="14000"/>
                <a:satMod val="280000"/>
              </a:schemeClr>
              <a:schemeClr val="phClr">
                <a:tint val="60000"/>
                <a:satMod val="120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chad.schreier@msubillings.edu"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abSelected="1" workbookViewId="0">
      <selection activeCell="A5" sqref="A5"/>
    </sheetView>
  </sheetViews>
  <sheetFormatPr defaultRowHeight="16.5"/>
  <cols>
    <col min="1" max="1" width="35.125" customWidth="1"/>
    <col min="2" max="2" width="43.5" customWidth="1"/>
    <col min="3" max="4" width="12.125" bestFit="1" customWidth="1"/>
    <col min="5" max="5" width="12.75" bestFit="1" customWidth="1"/>
    <col min="6" max="8" width="12.125" bestFit="1" customWidth="1"/>
    <col min="9" max="9" width="12.75" bestFit="1" customWidth="1"/>
    <col min="10" max="11" width="12.125" bestFit="1" customWidth="1"/>
  </cols>
  <sheetData>
    <row r="1" spans="1:11" ht="25.5">
      <c r="A1" s="380" t="s">
        <v>1434</v>
      </c>
    </row>
    <row r="2" spans="1:11" ht="25.5">
      <c r="A2" s="380" t="s">
        <v>1435</v>
      </c>
    </row>
    <row r="3" spans="1:11" ht="25.5">
      <c r="A3" s="380" t="s">
        <v>1436</v>
      </c>
    </row>
    <row r="4" spans="1:11" ht="25.5">
      <c r="A4" s="380" t="s">
        <v>1437</v>
      </c>
    </row>
    <row r="6" spans="1:11" ht="17.25">
      <c r="A6" s="98" t="s">
        <v>960</v>
      </c>
      <c r="B6" s="98" t="s">
        <v>961</v>
      </c>
      <c r="C6" s="98">
        <v>2012</v>
      </c>
      <c r="D6" s="98">
        <v>2013</v>
      </c>
      <c r="E6" s="98">
        <v>2014</v>
      </c>
      <c r="F6" s="98">
        <v>2015</v>
      </c>
      <c r="G6" s="98">
        <v>2016</v>
      </c>
      <c r="H6" s="98">
        <v>2017</v>
      </c>
      <c r="I6" s="98">
        <v>2018</v>
      </c>
      <c r="J6" s="98">
        <v>2019</v>
      </c>
      <c r="K6" s="98">
        <v>2020</v>
      </c>
    </row>
    <row r="8" spans="1:11">
      <c r="A8" s="148" t="s">
        <v>959</v>
      </c>
      <c r="B8" s="148" t="s">
        <v>962</v>
      </c>
      <c r="C8" s="350">
        <v>97374</v>
      </c>
      <c r="D8" s="339">
        <f>'MSU 4 Campus Cost Sharing'!D90</f>
        <v>-44163.804010138207</v>
      </c>
      <c r="E8" s="339">
        <f>D8*1.025</f>
        <v>-45267.899110391656</v>
      </c>
      <c r="F8" s="339">
        <f t="shared" ref="F8:K8" si="0">E8*1.025</f>
        <v>-46399.596588151442</v>
      </c>
      <c r="G8" s="339">
        <f t="shared" si="0"/>
        <v>-47559.586502855222</v>
      </c>
      <c r="H8" s="339">
        <f t="shared" si="0"/>
        <v>-48748.576165426595</v>
      </c>
      <c r="I8" s="339">
        <f t="shared" si="0"/>
        <v>-49967.290569562254</v>
      </c>
      <c r="J8" s="339">
        <f t="shared" si="0"/>
        <v>-51216.472833801308</v>
      </c>
      <c r="K8" s="339">
        <f t="shared" si="0"/>
        <v>-52496.884654646339</v>
      </c>
    </row>
    <row r="9" spans="1:11">
      <c r="A9" s="148" t="s">
        <v>983</v>
      </c>
      <c r="B9" s="148" t="s">
        <v>984</v>
      </c>
      <c r="C9" s="350">
        <f>'Hardware Maintenance Summary'!B18</f>
        <v>185744.43</v>
      </c>
      <c r="D9" s="350">
        <f>'Hardware Maintenance Summary'!C18</f>
        <v>191398.97999999998</v>
      </c>
      <c r="E9" s="350">
        <f>'Hardware Maintenance Summary'!D18</f>
        <v>223205.84999999998</v>
      </c>
      <c r="F9" s="350">
        <f>'Hardware Maintenance Summary'!E18</f>
        <v>44432.979999999996</v>
      </c>
      <c r="G9" s="350">
        <f>'Hardware Maintenance Summary'!F18</f>
        <v>134385.85</v>
      </c>
      <c r="H9" s="350">
        <f>'Hardware Maintenance Summary'!G18</f>
        <v>44432.979999999996</v>
      </c>
      <c r="I9" s="350">
        <f>'Hardware Maintenance Summary'!H18</f>
        <v>209165.84999999998</v>
      </c>
      <c r="J9" s="350">
        <f>'Hardware Maintenance Summary'!I18</f>
        <v>223822.97999999998</v>
      </c>
      <c r="K9" s="350">
        <f>'Hardware Maintenance Summary'!J18</f>
        <v>218692.61</v>
      </c>
    </row>
    <row r="10" spans="1:11">
      <c r="A10" s="148" t="s">
        <v>964</v>
      </c>
      <c r="B10" s="148" t="s">
        <v>965</v>
      </c>
      <c r="C10" s="350">
        <f>'Software Licensing'!B41</f>
        <v>98635.45</v>
      </c>
      <c r="D10" s="350">
        <f>'Software Licensing'!C41</f>
        <v>66746.36</v>
      </c>
      <c r="E10" s="350">
        <f>'Software Licensing'!D41</f>
        <v>92916.42</v>
      </c>
      <c r="F10" s="350">
        <f>'Software Licensing'!E41</f>
        <v>62505.15</v>
      </c>
      <c r="G10" s="350">
        <f>'Software Licensing'!F41</f>
        <v>92622.47</v>
      </c>
      <c r="H10" s="350">
        <f>'Software Licensing'!G41</f>
        <v>66290.31</v>
      </c>
      <c r="I10" s="350">
        <f>'Software Licensing'!H41</f>
        <v>89131.260000000009</v>
      </c>
      <c r="J10" s="350">
        <f>'Software Licensing'!I41</f>
        <v>65996.36</v>
      </c>
      <c r="K10" s="350">
        <f>'Software Licensing'!J41</f>
        <v>92916.42</v>
      </c>
    </row>
    <row r="11" spans="1:11">
      <c r="A11" s="148" t="s">
        <v>963</v>
      </c>
      <c r="B11" s="148" t="s">
        <v>966</v>
      </c>
      <c r="C11" s="339">
        <f>'Comuter Classrooms'!D74</f>
        <v>83296</v>
      </c>
      <c r="D11" s="339">
        <f>'Comuter Classrooms'!E74</f>
        <v>123848</v>
      </c>
      <c r="E11" s="339">
        <f>'Comuter Classrooms'!F74</f>
        <v>116176</v>
      </c>
      <c r="F11" s="339">
        <f>'Comuter Classrooms'!G74</f>
        <v>95352</v>
      </c>
      <c r="G11" s="339">
        <f>'Comuter Classrooms'!H74</f>
        <v>81104</v>
      </c>
      <c r="H11" s="339">
        <f>'Comuter Classrooms'!I74</f>
        <v>124944</v>
      </c>
      <c r="I11" s="339">
        <f>'Comuter Classrooms'!J74</f>
        <v>109600</v>
      </c>
      <c r="J11" s="339">
        <f>'Comuter Classrooms'!K74</f>
        <v>76720</v>
      </c>
      <c r="K11" s="339">
        <f>'Comuter Classrooms'!L74</f>
        <v>103024</v>
      </c>
    </row>
    <row r="12" spans="1:11">
      <c r="A12" s="148" t="s">
        <v>1033</v>
      </c>
      <c r="B12" s="148"/>
      <c r="C12" s="148"/>
      <c r="D12" s="148"/>
      <c r="E12" s="148"/>
      <c r="F12" s="148"/>
      <c r="G12" s="148"/>
      <c r="H12" s="148"/>
      <c r="I12" s="148"/>
      <c r="J12" s="148"/>
      <c r="K12" s="148"/>
    </row>
    <row r="13" spans="1:11">
      <c r="A13" s="148" t="s">
        <v>1044</v>
      </c>
      <c r="B13" s="148" t="s">
        <v>1045</v>
      </c>
      <c r="C13" s="339"/>
      <c r="D13" s="339">
        <v>75000</v>
      </c>
      <c r="E13" s="339">
        <f>'FacultyStaff Computer Schedule'!K173</f>
        <v>72336</v>
      </c>
      <c r="F13" s="339">
        <f>'FacultyStaff Computer Schedule'!L173</f>
        <v>63568</v>
      </c>
      <c r="G13" s="339">
        <f>'FacultyStaff Computer Schedule'!M173</f>
        <v>47128</v>
      </c>
      <c r="H13" s="339">
        <f>'FacultyStaff Computer Schedule'!N173</f>
        <v>72336</v>
      </c>
      <c r="I13" s="339">
        <f>'FacultyStaff Computer Schedule'!O173</f>
        <v>63568</v>
      </c>
      <c r="J13" s="339">
        <f>'FacultyStaff Computer Schedule'!P173</f>
        <v>47128</v>
      </c>
      <c r="K13" s="339">
        <f>'FacultyStaff Computer Schedule'!Q173</f>
        <v>72336</v>
      </c>
    </row>
    <row r="14" spans="1:11">
      <c r="A14" s="148" t="s">
        <v>1381</v>
      </c>
      <c r="B14" s="148" t="s">
        <v>1382</v>
      </c>
      <c r="C14" s="350">
        <v>60000</v>
      </c>
      <c r="D14" s="350">
        <v>60000</v>
      </c>
      <c r="E14" s="350">
        <v>60000</v>
      </c>
      <c r="F14" s="350">
        <v>60000</v>
      </c>
      <c r="G14" s="350">
        <v>60000</v>
      </c>
      <c r="H14" s="350">
        <v>60000</v>
      </c>
      <c r="I14" s="350">
        <v>60000</v>
      </c>
      <c r="J14" s="350">
        <v>60000</v>
      </c>
      <c r="K14" s="350">
        <v>60000</v>
      </c>
    </row>
    <row r="17" spans="1:11" ht="17.25">
      <c r="A17" s="98" t="s">
        <v>1032</v>
      </c>
      <c r="C17" s="348">
        <f>SUM(C8:C16)</f>
        <v>525049.88</v>
      </c>
      <c r="D17" s="348">
        <f t="shared" ref="D17:K17" si="1">SUM(D8:D16)</f>
        <v>472829.53598986176</v>
      </c>
      <c r="E17" s="348">
        <f t="shared" si="1"/>
        <v>519366.37088960834</v>
      </c>
      <c r="F17" s="348">
        <f t="shared" si="1"/>
        <v>279458.53341184859</v>
      </c>
      <c r="G17" s="348">
        <f t="shared" si="1"/>
        <v>367680.73349714477</v>
      </c>
      <c r="H17" s="348">
        <f t="shared" si="1"/>
        <v>319254.7138345734</v>
      </c>
      <c r="I17" s="348">
        <f t="shared" si="1"/>
        <v>481497.81943043775</v>
      </c>
      <c r="J17" s="348">
        <f t="shared" si="1"/>
        <v>422450.86716619867</v>
      </c>
      <c r="K17" s="348">
        <f t="shared" si="1"/>
        <v>494472.14534535364</v>
      </c>
    </row>
    <row r="20" spans="1:11">
      <c r="A20" t="s">
        <v>1036</v>
      </c>
      <c r="B20" t="s">
        <v>1037</v>
      </c>
      <c r="C20" s="99">
        <v>200000</v>
      </c>
      <c r="D20" s="99">
        <v>200000</v>
      </c>
      <c r="E20" s="99">
        <v>200000</v>
      </c>
      <c r="F20" s="99">
        <v>200000</v>
      </c>
      <c r="G20" s="99">
        <v>200000</v>
      </c>
      <c r="H20" s="99">
        <v>200000</v>
      </c>
      <c r="I20" s="99">
        <v>200000</v>
      </c>
      <c r="J20" s="99">
        <v>200000</v>
      </c>
      <c r="K20" s="99">
        <v>200000</v>
      </c>
    </row>
    <row r="21" spans="1:11">
      <c r="B21" t="s">
        <v>1038</v>
      </c>
      <c r="C21" s="99">
        <v>60000</v>
      </c>
      <c r="D21" s="99">
        <v>60000</v>
      </c>
      <c r="E21" s="99">
        <v>60000</v>
      </c>
      <c r="F21" s="99">
        <v>60000</v>
      </c>
      <c r="G21" s="99">
        <v>60000</v>
      </c>
      <c r="H21" s="99">
        <v>60000</v>
      </c>
      <c r="I21" s="99">
        <v>60000</v>
      </c>
      <c r="J21" s="99">
        <v>60000</v>
      </c>
      <c r="K21" s="99">
        <v>60000</v>
      </c>
    </row>
    <row r="22" spans="1:11">
      <c r="B22" t="s">
        <v>1039</v>
      </c>
      <c r="C22" s="99">
        <v>80000</v>
      </c>
      <c r="D22" s="99">
        <v>80000</v>
      </c>
      <c r="E22" s="99">
        <v>80000</v>
      </c>
      <c r="F22" s="99">
        <v>80000</v>
      </c>
      <c r="G22" s="99">
        <v>80000</v>
      </c>
      <c r="H22" s="99">
        <v>80000</v>
      </c>
      <c r="I22" s="99">
        <v>80000</v>
      </c>
      <c r="J22" s="99">
        <v>80000</v>
      </c>
      <c r="K22" s="99">
        <v>80000</v>
      </c>
    </row>
    <row r="23" spans="1:11">
      <c r="B23" t="s">
        <v>1040</v>
      </c>
      <c r="C23" s="99">
        <v>75540</v>
      </c>
      <c r="D23" s="99">
        <v>75540</v>
      </c>
      <c r="E23" s="99">
        <v>75540</v>
      </c>
      <c r="F23" s="99">
        <v>75540</v>
      </c>
      <c r="G23" s="99">
        <v>75540</v>
      </c>
      <c r="H23" s="99">
        <v>75540</v>
      </c>
      <c r="I23" s="99">
        <v>75540</v>
      </c>
      <c r="J23" s="99">
        <v>75540</v>
      </c>
      <c r="K23" s="99">
        <v>75540</v>
      </c>
    </row>
    <row r="24" spans="1:11">
      <c r="B24" t="s">
        <v>1043</v>
      </c>
      <c r="C24" s="99">
        <v>115000</v>
      </c>
      <c r="D24" s="99">
        <v>115000</v>
      </c>
      <c r="E24" s="99">
        <v>115000</v>
      </c>
      <c r="F24" s="99">
        <v>115000</v>
      </c>
      <c r="G24" s="99">
        <v>115000</v>
      </c>
      <c r="H24" s="99">
        <v>115000</v>
      </c>
      <c r="I24" s="99">
        <v>115000</v>
      </c>
      <c r="J24" s="99">
        <v>115000</v>
      </c>
      <c r="K24" s="99">
        <v>115000</v>
      </c>
    </row>
    <row r="25" spans="1:11">
      <c r="B25" t="s">
        <v>1046</v>
      </c>
      <c r="C25" s="99">
        <v>100000</v>
      </c>
      <c r="D25" s="99">
        <v>100000</v>
      </c>
      <c r="E25" s="99">
        <v>100000</v>
      </c>
      <c r="F25" s="99">
        <v>100000</v>
      </c>
      <c r="G25" s="99">
        <v>100000</v>
      </c>
      <c r="H25" s="99">
        <v>100000</v>
      </c>
      <c r="I25" s="99">
        <v>100000</v>
      </c>
      <c r="J25" s="99">
        <v>100000</v>
      </c>
      <c r="K25" s="99">
        <v>100000</v>
      </c>
    </row>
    <row r="27" spans="1:11" ht="17.25">
      <c r="B27" s="98" t="s">
        <v>1042</v>
      </c>
      <c r="C27" s="37">
        <f>SUM(C20:C25)</f>
        <v>630540</v>
      </c>
      <c r="D27" s="37">
        <f t="shared" ref="D27:K27" si="2">SUM(D20:D25)</f>
        <v>630540</v>
      </c>
      <c r="E27" s="37">
        <f t="shared" si="2"/>
        <v>630540</v>
      </c>
      <c r="F27" s="37">
        <f t="shared" si="2"/>
        <v>630540</v>
      </c>
      <c r="G27" s="37">
        <f t="shared" si="2"/>
        <v>630540</v>
      </c>
      <c r="H27" s="37">
        <f t="shared" si="2"/>
        <v>630540</v>
      </c>
      <c r="I27" s="37">
        <f t="shared" si="2"/>
        <v>630540</v>
      </c>
      <c r="J27" s="37">
        <f t="shared" si="2"/>
        <v>630540</v>
      </c>
      <c r="K27" s="37">
        <f t="shared" si="2"/>
        <v>630540</v>
      </c>
    </row>
    <row r="28" spans="1:11" ht="17.25">
      <c r="B28" s="98"/>
      <c r="C28" s="98"/>
      <c r="D28" s="98"/>
      <c r="E28" s="98"/>
      <c r="F28" s="98"/>
      <c r="G28" s="98"/>
      <c r="H28" s="98"/>
      <c r="I28" s="98"/>
      <c r="J28" s="98"/>
      <c r="K28" s="98"/>
    </row>
    <row r="29" spans="1:11" ht="17.25">
      <c r="B29" s="98" t="s">
        <v>1041</v>
      </c>
      <c r="C29" s="348">
        <f>C27-C17</f>
        <v>105490.12</v>
      </c>
      <c r="D29" s="348">
        <f t="shared" ref="D29:K29" si="3">D27-D17</f>
        <v>157710.46401013824</v>
      </c>
      <c r="E29" s="348">
        <f t="shared" si="3"/>
        <v>111173.62911039166</v>
      </c>
      <c r="F29" s="348">
        <f t="shared" si="3"/>
        <v>351081.46658815141</v>
      </c>
      <c r="G29" s="348">
        <f t="shared" si="3"/>
        <v>262859.26650285523</v>
      </c>
      <c r="H29" s="348">
        <f t="shared" si="3"/>
        <v>311285.2861654266</v>
      </c>
      <c r="I29" s="348">
        <f t="shared" si="3"/>
        <v>149042.18056956225</v>
      </c>
      <c r="J29" s="348">
        <f t="shared" si="3"/>
        <v>208089.13283380133</v>
      </c>
      <c r="K29" s="348">
        <f t="shared" si="3"/>
        <v>136067.85465464636</v>
      </c>
    </row>
    <row r="30" spans="1:11" ht="17.25">
      <c r="B30" s="98" t="s">
        <v>1376</v>
      </c>
      <c r="C30" s="100">
        <f>C29-C25</f>
        <v>5490.1199999999953</v>
      </c>
      <c r="D30" s="100">
        <f t="shared" ref="D30:K30" si="4">D29-D25</f>
        <v>57710.464010138239</v>
      </c>
      <c r="E30" s="100">
        <f t="shared" si="4"/>
        <v>11173.629110391659</v>
      </c>
      <c r="F30" s="100">
        <f t="shared" si="4"/>
        <v>251081.46658815141</v>
      </c>
      <c r="G30" s="100">
        <f t="shared" si="4"/>
        <v>162859.26650285523</v>
      </c>
      <c r="H30" s="100">
        <f t="shared" si="4"/>
        <v>211285.2861654266</v>
      </c>
      <c r="I30" s="100">
        <f t="shared" si="4"/>
        <v>49042.180569562246</v>
      </c>
      <c r="J30" s="100">
        <f t="shared" si="4"/>
        <v>108089.13283380133</v>
      </c>
      <c r="K30" s="353">
        <f t="shared" si="4"/>
        <v>36067.854654646362</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opLeftCell="A4" workbookViewId="0">
      <selection activeCell="E7" sqref="E7"/>
    </sheetView>
  </sheetViews>
  <sheetFormatPr defaultRowHeight="16.5"/>
  <cols>
    <col min="1" max="1" width="22.25" bestFit="1" customWidth="1"/>
    <col min="2" max="2" width="11.875" bestFit="1" customWidth="1"/>
    <col min="5" max="5" width="18" bestFit="1" customWidth="1"/>
    <col min="6" max="6" width="14.875" bestFit="1" customWidth="1"/>
    <col min="7" max="7" width="22.625" bestFit="1" customWidth="1"/>
    <col min="8" max="8" width="11.125" bestFit="1" customWidth="1"/>
    <col min="9" max="9" width="10.625" bestFit="1" customWidth="1"/>
    <col min="10" max="10" width="14" customWidth="1"/>
  </cols>
  <sheetData>
    <row r="1" spans="1:10">
      <c r="A1" t="s">
        <v>756</v>
      </c>
    </row>
    <row r="2" spans="1:10">
      <c r="A2" s="108" t="s">
        <v>746</v>
      </c>
      <c r="B2" s="108" t="s">
        <v>747</v>
      </c>
      <c r="C2" s="108" t="s">
        <v>748</v>
      </c>
      <c r="D2" s="108" t="s">
        <v>749</v>
      </c>
      <c r="E2" s="108" t="s">
        <v>750</v>
      </c>
      <c r="F2" s="108" t="s">
        <v>751</v>
      </c>
      <c r="G2" s="108" t="s">
        <v>752</v>
      </c>
      <c r="H2" s="109" t="s">
        <v>753</v>
      </c>
      <c r="I2" s="109" t="s">
        <v>754</v>
      </c>
      <c r="J2" s="108" t="s">
        <v>755</v>
      </c>
    </row>
    <row r="4" spans="1:10">
      <c r="A4" s="104" t="s">
        <v>715</v>
      </c>
      <c r="B4" s="104" t="s">
        <v>716</v>
      </c>
      <c r="C4" s="104" t="s">
        <v>717</v>
      </c>
      <c r="D4" s="104" t="s">
        <v>718</v>
      </c>
      <c r="E4" s="104" t="s">
        <v>719</v>
      </c>
      <c r="F4" s="106" t="s">
        <v>720</v>
      </c>
      <c r="G4" s="103" t="s">
        <v>721</v>
      </c>
      <c r="H4" s="105" t="s">
        <v>722</v>
      </c>
      <c r="I4" s="105" t="s">
        <v>723</v>
      </c>
      <c r="J4" s="107">
        <v>1870.32</v>
      </c>
    </row>
    <row r="5" spans="1:10">
      <c r="A5" s="104" t="s">
        <v>715</v>
      </c>
      <c r="B5" s="104" t="s">
        <v>716</v>
      </c>
      <c r="C5" s="104" t="s">
        <v>717</v>
      </c>
      <c r="D5" s="104" t="s">
        <v>718</v>
      </c>
      <c r="E5" s="104" t="s">
        <v>719</v>
      </c>
      <c r="F5" s="104" t="s">
        <v>724</v>
      </c>
      <c r="G5" s="103" t="s">
        <v>721</v>
      </c>
      <c r="H5" s="105" t="s">
        <v>722</v>
      </c>
      <c r="I5" s="105" t="s">
        <v>723</v>
      </c>
      <c r="J5" s="107">
        <v>1870.32</v>
      </c>
    </row>
    <row r="6" spans="1:10">
      <c r="A6" s="104" t="s">
        <v>715</v>
      </c>
      <c r="B6" s="104" t="s">
        <v>716</v>
      </c>
      <c r="C6" s="104" t="s">
        <v>717</v>
      </c>
      <c r="D6" s="104" t="s">
        <v>718</v>
      </c>
      <c r="E6" s="104" t="s">
        <v>735</v>
      </c>
      <c r="F6" s="114" t="s">
        <v>736</v>
      </c>
      <c r="G6" s="104" t="s">
        <v>721</v>
      </c>
      <c r="H6" s="105" t="s">
        <v>728</v>
      </c>
      <c r="I6" s="105" t="s">
        <v>723</v>
      </c>
      <c r="J6" s="107">
        <v>4755.29</v>
      </c>
    </row>
    <row r="7" spans="1:10">
      <c r="A7" s="104" t="s">
        <v>715</v>
      </c>
      <c r="B7" s="104" t="s">
        <v>716</v>
      </c>
      <c r="C7" s="104" t="s">
        <v>717</v>
      </c>
      <c r="D7" s="104" t="s">
        <v>718</v>
      </c>
      <c r="E7" s="104" t="s">
        <v>19</v>
      </c>
      <c r="F7" s="111" t="s">
        <v>20</v>
      </c>
      <c r="G7" s="110" t="s">
        <v>721</v>
      </c>
      <c r="H7" s="105" t="s">
        <v>739</v>
      </c>
      <c r="I7" s="105" t="s">
        <v>723</v>
      </c>
      <c r="J7" s="107">
        <v>824</v>
      </c>
    </row>
    <row r="8" spans="1:10">
      <c r="A8" s="104" t="s">
        <v>715</v>
      </c>
      <c r="B8" s="104" t="s">
        <v>716</v>
      </c>
      <c r="C8" s="104" t="s">
        <v>717</v>
      </c>
      <c r="D8" s="104" t="s">
        <v>718</v>
      </c>
      <c r="E8" s="104" t="s">
        <v>19</v>
      </c>
      <c r="F8" s="104" t="s">
        <v>51</v>
      </c>
      <c r="G8" s="110" t="s">
        <v>721</v>
      </c>
      <c r="H8" s="105" t="s">
        <v>739</v>
      </c>
      <c r="I8" s="105" t="s">
        <v>723</v>
      </c>
      <c r="J8" s="107">
        <v>824</v>
      </c>
    </row>
    <row r="9" spans="1:10">
      <c r="A9" s="104" t="s">
        <v>715</v>
      </c>
      <c r="B9" s="104" t="s">
        <v>716</v>
      </c>
      <c r="C9" s="104" t="s">
        <v>717</v>
      </c>
      <c r="D9" s="104" t="s">
        <v>718</v>
      </c>
      <c r="E9" s="104" t="s">
        <v>19</v>
      </c>
      <c r="F9" s="111" t="s">
        <v>36</v>
      </c>
      <c r="G9" s="103" t="s">
        <v>721</v>
      </c>
      <c r="H9" s="105" t="s">
        <v>739</v>
      </c>
      <c r="I9" s="105" t="s">
        <v>723</v>
      </c>
      <c r="J9" s="107">
        <v>824</v>
      </c>
    </row>
    <row r="10" spans="1:10">
      <c r="A10" s="104" t="s">
        <v>715</v>
      </c>
      <c r="B10" s="104" t="s">
        <v>716</v>
      </c>
      <c r="C10" s="104" t="s">
        <v>717</v>
      </c>
      <c r="D10" s="104" t="s">
        <v>718</v>
      </c>
      <c r="E10" s="104" t="s">
        <v>19</v>
      </c>
      <c r="F10" s="111" t="s">
        <v>17</v>
      </c>
      <c r="G10" s="103" t="s">
        <v>721</v>
      </c>
      <c r="H10" s="105" t="s">
        <v>739</v>
      </c>
      <c r="I10" s="105" t="s">
        <v>723</v>
      </c>
      <c r="J10" s="107">
        <v>824</v>
      </c>
    </row>
    <row r="11" spans="1:10">
      <c r="A11" s="104" t="s">
        <v>715</v>
      </c>
      <c r="B11" s="104" t="s">
        <v>716</v>
      </c>
      <c r="C11" s="104" t="s">
        <v>717</v>
      </c>
      <c r="D11" s="104" t="s">
        <v>718</v>
      </c>
      <c r="E11" s="104" t="s">
        <v>19</v>
      </c>
      <c r="F11" s="104" t="s">
        <v>26</v>
      </c>
      <c r="G11" s="103" t="s">
        <v>721</v>
      </c>
      <c r="H11" s="105" t="s">
        <v>739</v>
      </c>
      <c r="I11" s="105" t="s">
        <v>723</v>
      </c>
      <c r="J11" s="107">
        <v>824</v>
      </c>
    </row>
    <row r="12" spans="1:10">
      <c r="A12" s="104" t="s">
        <v>715</v>
      </c>
      <c r="B12" s="104" t="s">
        <v>716</v>
      </c>
      <c r="C12" s="104" t="s">
        <v>717</v>
      </c>
      <c r="D12" s="104" t="s">
        <v>718</v>
      </c>
      <c r="E12" s="104" t="s">
        <v>19</v>
      </c>
      <c r="F12" s="104" t="s">
        <v>34</v>
      </c>
      <c r="G12" s="103" t="s">
        <v>721</v>
      </c>
      <c r="H12" s="105" t="s">
        <v>739</v>
      </c>
      <c r="I12" s="105" t="s">
        <v>723</v>
      </c>
      <c r="J12" s="107">
        <v>824</v>
      </c>
    </row>
    <row r="13" spans="1:10">
      <c r="A13" s="104" t="s">
        <v>715</v>
      </c>
      <c r="B13" s="104" t="s">
        <v>716</v>
      </c>
      <c r="C13" s="104" t="s">
        <v>717</v>
      </c>
      <c r="D13" s="104" t="s">
        <v>718</v>
      </c>
      <c r="E13" s="104" t="s">
        <v>19</v>
      </c>
      <c r="F13" s="114" t="s">
        <v>45</v>
      </c>
      <c r="G13" s="103" t="s">
        <v>721</v>
      </c>
      <c r="H13" s="105" t="s">
        <v>739</v>
      </c>
      <c r="I13" s="105" t="s">
        <v>723</v>
      </c>
      <c r="J13" s="107">
        <v>824</v>
      </c>
    </row>
    <row r="14" spans="1:10">
      <c r="A14" s="104" t="s">
        <v>715</v>
      </c>
      <c r="B14" s="104" t="s">
        <v>716</v>
      </c>
      <c r="C14" s="104" t="s">
        <v>717</v>
      </c>
      <c r="D14" s="104" t="s">
        <v>718</v>
      </c>
      <c r="E14" s="104" t="s">
        <v>19</v>
      </c>
      <c r="F14" s="104" t="s">
        <v>47</v>
      </c>
      <c r="G14" s="103" t="s">
        <v>721</v>
      </c>
      <c r="H14" s="105" t="s">
        <v>739</v>
      </c>
      <c r="I14" s="105" t="s">
        <v>723</v>
      </c>
      <c r="J14" s="107">
        <v>824</v>
      </c>
    </row>
    <row r="15" spans="1:10">
      <c r="A15" s="104" t="s">
        <v>715</v>
      </c>
      <c r="B15" s="104" t="s">
        <v>716</v>
      </c>
      <c r="C15" s="104" t="s">
        <v>717</v>
      </c>
      <c r="D15" s="104" t="s">
        <v>718</v>
      </c>
      <c r="E15" s="104" t="s">
        <v>13</v>
      </c>
      <c r="F15" s="104" t="s">
        <v>14</v>
      </c>
      <c r="G15" s="103" t="s">
        <v>721</v>
      </c>
      <c r="H15" s="105" t="s">
        <v>739</v>
      </c>
      <c r="I15" s="105" t="s">
        <v>723</v>
      </c>
      <c r="J15" s="107">
        <v>1520</v>
      </c>
    </row>
    <row r="16" spans="1:10">
      <c r="A16" s="104" t="s">
        <v>715</v>
      </c>
      <c r="B16" s="104" t="s">
        <v>716</v>
      </c>
      <c r="C16" s="104" t="s">
        <v>717</v>
      </c>
      <c r="D16" s="104" t="s">
        <v>718</v>
      </c>
      <c r="E16" s="104" t="s">
        <v>264</v>
      </c>
      <c r="F16" s="110" t="s">
        <v>269</v>
      </c>
      <c r="G16" s="103" t="s">
        <v>721</v>
      </c>
      <c r="H16" s="105" t="s">
        <v>739</v>
      </c>
      <c r="I16" s="105" t="s">
        <v>723</v>
      </c>
      <c r="J16" s="107">
        <v>800</v>
      </c>
    </row>
    <row r="17" spans="1:10">
      <c r="A17" s="104" t="s">
        <v>715</v>
      </c>
      <c r="B17" s="104" t="s">
        <v>716</v>
      </c>
      <c r="C17" s="104" t="s">
        <v>717</v>
      </c>
      <c r="D17" s="104" t="s">
        <v>718</v>
      </c>
      <c r="E17" s="104" t="s">
        <v>11</v>
      </c>
      <c r="F17" s="104" t="s">
        <v>251</v>
      </c>
      <c r="G17" s="103" t="s">
        <v>721</v>
      </c>
      <c r="H17" s="105" t="s">
        <v>739</v>
      </c>
      <c r="I17" s="105" t="s">
        <v>723</v>
      </c>
      <c r="J17" s="107">
        <v>1007</v>
      </c>
    </row>
    <row r="18" spans="1:10">
      <c r="A18" s="104" t="s">
        <v>715</v>
      </c>
      <c r="B18" s="104" t="s">
        <v>716</v>
      </c>
      <c r="C18" s="104" t="s">
        <v>717</v>
      </c>
      <c r="D18" s="104" t="s">
        <v>718</v>
      </c>
      <c r="E18" s="104" t="s">
        <v>286</v>
      </c>
      <c r="F18" s="111" t="s">
        <v>293</v>
      </c>
      <c r="G18" s="103" t="s">
        <v>721</v>
      </c>
      <c r="H18" s="105" t="s">
        <v>739</v>
      </c>
      <c r="I18" s="105" t="s">
        <v>723</v>
      </c>
      <c r="J18" s="107">
        <v>104</v>
      </c>
    </row>
    <row r="19" spans="1:10">
      <c r="A19" s="104" t="s">
        <v>715</v>
      </c>
      <c r="B19" s="104" t="s">
        <v>716</v>
      </c>
      <c r="C19" s="104" t="s">
        <v>717</v>
      </c>
      <c r="D19" s="104" t="s">
        <v>718</v>
      </c>
      <c r="E19" s="104" t="s">
        <v>286</v>
      </c>
      <c r="F19" s="104" t="s">
        <v>311</v>
      </c>
      <c r="G19" s="103" t="s">
        <v>721</v>
      </c>
      <c r="H19" s="105" t="s">
        <v>739</v>
      </c>
      <c r="I19" s="105" t="s">
        <v>723</v>
      </c>
      <c r="J19" s="107">
        <v>104</v>
      </c>
    </row>
    <row r="20" spans="1:10">
      <c r="A20" s="104" t="s">
        <v>715</v>
      </c>
      <c r="B20" s="104" t="s">
        <v>716</v>
      </c>
      <c r="C20" s="104" t="s">
        <v>717</v>
      </c>
      <c r="D20" s="104" t="s">
        <v>718</v>
      </c>
      <c r="E20" s="104" t="s">
        <v>286</v>
      </c>
      <c r="F20" s="104" t="s">
        <v>296</v>
      </c>
      <c r="G20" s="103" t="s">
        <v>721</v>
      </c>
      <c r="H20" s="105" t="s">
        <v>739</v>
      </c>
      <c r="I20" s="105" t="s">
        <v>723</v>
      </c>
      <c r="J20" s="107">
        <v>104</v>
      </c>
    </row>
    <row r="21" spans="1:10">
      <c r="A21" s="104" t="s">
        <v>715</v>
      </c>
      <c r="B21" s="104" t="s">
        <v>716</v>
      </c>
      <c r="C21" s="104" t="s">
        <v>717</v>
      </c>
      <c r="D21" s="104" t="s">
        <v>718</v>
      </c>
      <c r="E21" s="104" t="s">
        <v>286</v>
      </c>
      <c r="F21" s="110" t="s">
        <v>329</v>
      </c>
      <c r="G21" s="103" t="s">
        <v>721</v>
      </c>
      <c r="H21" s="105" t="s">
        <v>739</v>
      </c>
      <c r="I21" s="105" t="s">
        <v>723</v>
      </c>
      <c r="J21" s="107">
        <v>104</v>
      </c>
    </row>
    <row r="22" spans="1:10">
      <c r="A22" s="104" t="s">
        <v>715</v>
      </c>
      <c r="B22" s="104" t="s">
        <v>716</v>
      </c>
      <c r="C22" s="104" t="s">
        <v>717</v>
      </c>
      <c r="D22" s="104" t="s">
        <v>718</v>
      </c>
      <c r="E22" s="104" t="s">
        <v>286</v>
      </c>
      <c r="F22" s="114" t="s">
        <v>287</v>
      </c>
      <c r="G22" s="103" t="s">
        <v>721</v>
      </c>
      <c r="H22" s="105" t="s">
        <v>739</v>
      </c>
      <c r="I22" s="105" t="s">
        <v>723</v>
      </c>
      <c r="J22" s="107">
        <v>104</v>
      </c>
    </row>
    <row r="23" spans="1:10">
      <c r="A23" s="104" t="s">
        <v>715</v>
      </c>
      <c r="B23" s="104" t="s">
        <v>716</v>
      </c>
      <c r="C23" s="104" t="s">
        <v>717</v>
      </c>
      <c r="D23" s="104" t="s">
        <v>718</v>
      </c>
      <c r="E23" s="104" t="s">
        <v>286</v>
      </c>
      <c r="F23" s="104" t="s">
        <v>740</v>
      </c>
      <c r="G23" s="103" t="s">
        <v>721</v>
      </c>
      <c r="H23" s="105" t="s">
        <v>739</v>
      </c>
      <c r="I23" s="105" t="s">
        <v>723</v>
      </c>
      <c r="J23" s="107">
        <v>104</v>
      </c>
    </row>
    <row r="24" spans="1:10">
      <c r="A24" s="104" t="s">
        <v>715</v>
      </c>
      <c r="B24" s="104" t="s">
        <v>716</v>
      </c>
      <c r="C24" s="104" t="s">
        <v>717</v>
      </c>
      <c r="D24" s="104" t="s">
        <v>718</v>
      </c>
      <c r="E24" s="104" t="s">
        <v>286</v>
      </c>
      <c r="F24" s="104" t="s">
        <v>743</v>
      </c>
      <c r="G24" s="103" t="s">
        <v>721</v>
      </c>
      <c r="H24" s="105" t="s">
        <v>739</v>
      </c>
      <c r="I24" s="105" t="s">
        <v>723</v>
      </c>
      <c r="J24" s="107">
        <v>104</v>
      </c>
    </row>
    <row r="25" spans="1:10">
      <c r="A25" s="104" t="s">
        <v>715</v>
      </c>
      <c r="B25" s="104" t="s">
        <v>716</v>
      </c>
      <c r="C25" s="104" t="s">
        <v>717</v>
      </c>
      <c r="D25" s="104" t="s">
        <v>718</v>
      </c>
      <c r="E25" s="104" t="s">
        <v>286</v>
      </c>
      <c r="F25" s="104" t="s">
        <v>741</v>
      </c>
      <c r="G25" s="103" t="s">
        <v>721</v>
      </c>
      <c r="H25" s="105" t="s">
        <v>739</v>
      </c>
      <c r="I25" s="105" t="s">
        <v>723</v>
      </c>
      <c r="J25" s="107">
        <v>104</v>
      </c>
    </row>
    <row r="26" spans="1:10">
      <c r="A26" s="104" t="s">
        <v>715</v>
      </c>
      <c r="B26" s="104" t="s">
        <v>716</v>
      </c>
      <c r="C26" s="104" t="s">
        <v>717</v>
      </c>
      <c r="D26" s="104" t="s">
        <v>718</v>
      </c>
      <c r="E26" s="104" t="s">
        <v>286</v>
      </c>
      <c r="F26" s="111" t="s">
        <v>742</v>
      </c>
      <c r="G26" s="103" t="s">
        <v>721</v>
      </c>
      <c r="H26" s="105" t="s">
        <v>739</v>
      </c>
      <c r="I26" s="105" t="s">
        <v>723</v>
      </c>
      <c r="J26" s="107">
        <v>104</v>
      </c>
    </row>
    <row r="27" spans="1:10">
      <c r="A27" s="104" t="s">
        <v>715</v>
      </c>
      <c r="B27" s="104" t="s">
        <v>716</v>
      </c>
      <c r="C27" s="104" t="s">
        <v>717</v>
      </c>
      <c r="D27" s="104" t="s">
        <v>718</v>
      </c>
      <c r="E27" s="104" t="s">
        <v>744</v>
      </c>
      <c r="F27" s="114" t="s">
        <v>205</v>
      </c>
      <c r="G27" s="103" t="s">
        <v>721</v>
      </c>
      <c r="H27" s="105" t="s">
        <v>739</v>
      </c>
      <c r="I27" s="105" t="s">
        <v>723</v>
      </c>
      <c r="J27" s="107">
        <v>525</v>
      </c>
    </row>
    <row r="28" spans="1:10">
      <c r="A28" s="104" t="s">
        <v>715</v>
      </c>
      <c r="B28" s="104" t="s">
        <v>716</v>
      </c>
      <c r="C28" s="104" t="s">
        <v>717</v>
      </c>
      <c r="D28" s="104" t="s">
        <v>718</v>
      </c>
      <c r="E28" s="104" t="s">
        <v>745</v>
      </c>
      <c r="F28" s="104" t="s">
        <v>201</v>
      </c>
      <c r="G28" s="103" t="s">
        <v>721</v>
      </c>
      <c r="H28" s="105" t="s">
        <v>739</v>
      </c>
      <c r="I28" s="105" t="s">
        <v>723</v>
      </c>
      <c r="J28" s="107">
        <v>959</v>
      </c>
    </row>
    <row r="29" spans="1:10">
      <c r="A29" s="104" t="s">
        <v>715</v>
      </c>
      <c r="B29" s="104" t="s">
        <v>716</v>
      </c>
      <c r="C29" s="104" t="s">
        <v>717</v>
      </c>
      <c r="D29" s="104" t="s">
        <v>718</v>
      </c>
      <c r="E29" s="104" t="s">
        <v>745</v>
      </c>
      <c r="F29" s="104" t="s">
        <v>200</v>
      </c>
      <c r="G29" s="103" t="s">
        <v>721</v>
      </c>
      <c r="H29" s="105" t="s">
        <v>739</v>
      </c>
      <c r="I29" s="105" t="s">
        <v>723</v>
      </c>
      <c r="J29" s="107">
        <v>959</v>
      </c>
    </row>
    <row r="30" spans="1:10">
      <c r="A30" s="104" t="s">
        <v>715</v>
      </c>
      <c r="B30" s="104" t="s">
        <v>716</v>
      </c>
      <c r="C30" s="104" t="s">
        <v>717</v>
      </c>
      <c r="D30" s="104" t="s">
        <v>718</v>
      </c>
      <c r="E30" s="104" t="s">
        <v>733</v>
      </c>
      <c r="F30" s="104" t="s">
        <v>734</v>
      </c>
      <c r="G30" s="111" t="s">
        <v>721</v>
      </c>
      <c r="H30" s="105" t="s">
        <v>728</v>
      </c>
      <c r="I30" s="105" t="s">
        <v>723</v>
      </c>
      <c r="J30" s="107">
        <v>1783.23</v>
      </c>
    </row>
    <row r="31" spans="1:10">
      <c r="A31" s="111" t="s">
        <v>715</v>
      </c>
      <c r="B31" s="111" t="s">
        <v>716</v>
      </c>
      <c r="C31" s="111" t="s">
        <v>717</v>
      </c>
      <c r="D31" s="111" t="s">
        <v>718</v>
      </c>
      <c r="E31" s="111" t="s">
        <v>737</v>
      </c>
      <c r="F31" s="111" t="s">
        <v>738</v>
      </c>
      <c r="G31" s="111" t="s">
        <v>721</v>
      </c>
      <c r="H31" s="112" t="s">
        <v>728</v>
      </c>
      <c r="I31" s="112" t="s">
        <v>723</v>
      </c>
      <c r="J31" s="113">
        <v>891.62</v>
      </c>
    </row>
    <row r="32" spans="1:10">
      <c r="A32" s="111" t="s">
        <v>715</v>
      </c>
      <c r="B32" s="111" t="s">
        <v>716</v>
      </c>
      <c r="C32" s="111" t="s">
        <v>717</v>
      </c>
      <c r="D32" s="111" t="s">
        <v>718</v>
      </c>
      <c r="E32" s="111" t="s">
        <v>725</v>
      </c>
      <c r="F32" s="110" t="s">
        <v>726</v>
      </c>
      <c r="G32" s="111" t="s">
        <v>727</v>
      </c>
      <c r="H32" s="112" t="s">
        <v>728</v>
      </c>
      <c r="I32" s="112" t="s">
        <v>723</v>
      </c>
      <c r="J32" s="113">
        <v>5570.75</v>
      </c>
    </row>
    <row r="33" spans="1:10">
      <c r="A33" s="111" t="s">
        <v>715</v>
      </c>
      <c r="B33" s="111" t="s">
        <v>716</v>
      </c>
      <c r="C33" s="111" t="s">
        <v>717</v>
      </c>
      <c r="D33" s="111" t="s">
        <v>718</v>
      </c>
      <c r="E33" s="111" t="s">
        <v>729</v>
      </c>
      <c r="F33" s="110" t="s">
        <v>726</v>
      </c>
      <c r="G33" s="111" t="s">
        <v>727</v>
      </c>
      <c r="H33" s="112" t="s">
        <v>728</v>
      </c>
      <c r="I33" s="112" t="s">
        <v>723</v>
      </c>
      <c r="J33" s="113">
        <v>3341.7</v>
      </c>
    </row>
    <row r="34" spans="1:10">
      <c r="A34" s="111" t="s">
        <v>715</v>
      </c>
      <c r="B34" s="111" t="s">
        <v>716</v>
      </c>
      <c r="C34" s="111" t="s">
        <v>717</v>
      </c>
      <c r="D34" s="111" t="s">
        <v>718</v>
      </c>
      <c r="E34" s="111" t="s">
        <v>730</v>
      </c>
      <c r="F34" s="110" t="s">
        <v>726</v>
      </c>
      <c r="G34" s="111" t="s">
        <v>727</v>
      </c>
      <c r="H34" s="112" t="s">
        <v>728</v>
      </c>
      <c r="I34" s="112" t="s">
        <v>723</v>
      </c>
      <c r="J34" s="113">
        <v>822.89</v>
      </c>
    </row>
    <row r="35" spans="1:10">
      <c r="A35" s="111" t="s">
        <v>715</v>
      </c>
      <c r="B35" s="111" t="s">
        <v>716</v>
      </c>
      <c r="C35" s="111" t="s">
        <v>717</v>
      </c>
      <c r="D35" s="111" t="s">
        <v>718</v>
      </c>
      <c r="E35" s="111" t="s">
        <v>731</v>
      </c>
      <c r="F35" s="110" t="s">
        <v>726</v>
      </c>
      <c r="G35" s="111" t="s">
        <v>727</v>
      </c>
      <c r="H35" s="112" t="s">
        <v>728</v>
      </c>
      <c r="I35" s="112" t="s">
        <v>723</v>
      </c>
      <c r="J35" s="113">
        <v>1669.92</v>
      </c>
    </row>
    <row r="36" spans="1:10">
      <c r="A36" s="111" t="s">
        <v>715</v>
      </c>
      <c r="B36" s="111" t="s">
        <v>716</v>
      </c>
      <c r="C36" s="111" t="s">
        <v>717</v>
      </c>
      <c r="D36" s="111" t="s">
        <v>718</v>
      </c>
      <c r="E36" s="111" t="s">
        <v>732</v>
      </c>
      <c r="F36" s="110" t="s">
        <v>726</v>
      </c>
      <c r="G36" s="111" t="s">
        <v>727</v>
      </c>
      <c r="H36" s="112" t="s">
        <v>728</v>
      </c>
      <c r="I36" s="112" t="s">
        <v>723</v>
      </c>
      <c r="J36" s="113">
        <v>10028.83</v>
      </c>
    </row>
    <row r="37" spans="1:10" ht="38.25">
      <c r="E37" s="116" t="s">
        <v>758</v>
      </c>
      <c r="G37" s="116" t="s">
        <v>757</v>
      </c>
      <c r="J37" s="102">
        <v>1265</v>
      </c>
    </row>
    <row r="39" spans="1:10">
      <c r="J39" s="102">
        <f>SUM(J4:J38)</f>
        <v>47167.869999999995</v>
      </c>
    </row>
    <row r="40" spans="1:10">
      <c r="J40" s="102"/>
    </row>
    <row r="41" spans="1:10">
      <c r="J41" s="102"/>
    </row>
    <row r="42" spans="1:10">
      <c r="J42" s="102"/>
    </row>
    <row r="43" spans="1:10">
      <c r="J43" s="102"/>
    </row>
    <row r="44" spans="1:10">
      <c r="J44" s="102"/>
    </row>
    <row r="45" spans="1:10">
      <c r="J45" s="102"/>
    </row>
    <row r="46" spans="1:10">
      <c r="J46" s="102"/>
    </row>
    <row r="47" spans="1:10">
      <c r="J47" s="102"/>
    </row>
    <row r="48" spans="1:10">
      <c r="J48" s="102"/>
    </row>
    <row r="49" spans="10:10">
      <c r="J49" s="102"/>
    </row>
    <row r="50" spans="10:10">
      <c r="J50" s="102"/>
    </row>
    <row r="51" spans="10:10">
      <c r="J51" s="102"/>
    </row>
    <row r="52" spans="10:10">
      <c r="J52" s="102"/>
    </row>
    <row r="53" spans="10:10">
      <c r="J53" s="102"/>
    </row>
    <row r="54" spans="10:10">
      <c r="J54" s="102"/>
    </row>
  </sheetData>
  <sortState ref="A6:J44">
    <sortCondition ref="F4"/>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topLeftCell="A7" workbookViewId="0">
      <selection activeCell="D26" sqref="D26"/>
    </sheetView>
  </sheetViews>
  <sheetFormatPr defaultRowHeight="16.5"/>
  <cols>
    <col min="1" max="1" width="20.75" customWidth="1"/>
    <col min="2" max="2" width="9.75" customWidth="1"/>
    <col min="3" max="3" width="65.375" bestFit="1" customWidth="1"/>
    <col min="4" max="4" width="9.25" bestFit="1" customWidth="1"/>
    <col min="5" max="7" width="9.75" customWidth="1"/>
  </cols>
  <sheetData>
    <row r="1" spans="1:7" ht="30">
      <c r="A1" s="404" t="s">
        <v>660</v>
      </c>
      <c r="B1" s="405"/>
      <c r="C1" s="405"/>
      <c r="D1" s="405"/>
      <c r="E1" s="405"/>
      <c r="F1" s="56"/>
    </row>
    <row r="2" spans="1:7" ht="23.25">
      <c r="A2" s="406" t="s">
        <v>661</v>
      </c>
      <c r="B2" s="405"/>
      <c r="C2" s="405"/>
      <c r="D2" s="405"/>
      <c r="E2" s="405"/>
      <c r="F2" s="56"/>
    </row>
    <row r="3" spans="1:7">
      <c r="A3" s="407" t="s">
        <v>662</v>
      </c>
      <c r="B3" s="405"/>
      <c r="C3" s="405"/>
      <c r="D3" s="405"/>
      <c r="E3" s="57"/>
      <c r="F3" s="56"/>
    </row>
    <row r="4" spans="1:7" ht="20.25">
      <c r="A4" s="408" t="s">
        <v>663</v>
      </c>
      <c r="B4" s="408"/>
      <c r="C4" s="58"/>
      <c r="D4" s="59"/>
      <c r="E4" s="57"/>
      <c r="F4" s="56"/>
    </row>
    <row r="5" spans="1:7">
      <c r="A5" s="60" t="s">
        <v>664</v>
      </c>
      <c r="B5" s="61">
        <v>41277</v>
      </c>
      <c r="C5" s="62"/>
      <c r="E5" s="63" t="s">
        <v>665</v>
      </c>
      <c r="F5" s="403" t="s">
        <v>666</v>
      </c>
      <c r="G5" s="403"/>
    </row>
    <row r="6" spans="1:7">
      <c r="A6" s="60" t="s">
        <v>667</v>
      </c>
      <c r="B6" s="64">
        <v>131537</v>
      </c>
      <c r="C6" s="65"/>
      <c r="E6" s="66" t="s">
        <v>668</v>
      </c>
      <c r="F6" s="403" t="s">
        <v>669</v>
      </c>
      <c r="G6" s="403"/>
    </row>
    <row r="7" spans="1:7">
      <c r="A7" s="60" t="s">
        <v>670</v>
      </c>
      <c r="B7" s="410" t="s">
        <v>671</v>
      </c>
      <c r="C7" s="410"/>
      <c r="E7" s="67" t="s">
        <v>672</v>
      </c>
      <c r="F7" s="411">
        <v>5654038</v>
      </c>
      <c r="G7" s="411"/>
    </row>
    <row r="8" spans="1:7">
      <c r="A8" s="60" t="s">
        <v>673</v>
      </c>
      <c r="B8" s="412" t="s">
        <v>674</v>
      </c>
      <c r="C8" s="412"/>
      <c r="E8" s="67" t="s">
        <v>675</v>
      </c>
      <c r="F8" s="403">
        <v>41306</v>
      </c>
      <c r="G8" s="403"/>
    </row>
    <row r="9" spans="1:7">
      <c r="A9" s="60" t="s">
        <v>676</v>
      </c>
      <c r="B9" s="413" t="s">
        <v>677</v>
      </c>
      <c r="C9" s="414"/>
      <c r="D9" s="67"/>
      <c r="E9" s="67" t="s">
        <v>678</v>
      </c>
      <c r="F9" s="68" t="s">
        <v>679</v>
      </c>
      <c r="G9" s="69"/>
    </row>
    <row r="10" spans="1:7">
      <c r="A10" s="60" t="s">
        <v>680</v>
      </c>
      <c r="B10" s="70">
        <v>41333</v>
      </c>
      <c r="C10" s="64"/>
      <c r="D10" s="71"/>
      <c r="E10" s="415" t="s">
        <v>416</v>
      </c>
      <c r="F10" s="415"/>
    </row>
    <row r="11" spans="1:7">
      <c r="A11" s="416" t="s">
        <v>681</v>
      </c>
      <c r="B11" s="417"/>
      <c r="C11" s="417"/>
      <c r="D11" s="417"/>
      <c r="E11" s="417"/>
      <c r="F11" s="417"/>
    </row>
    <row r="12" spans="1:7">
      <c r="A12" s="71"/>
      <c r="B12" s="72"/>
      <c r="C12" s="72"/>
      <c r="D12" s="71"/>
      <c r="E12" s="73"/>
      <c r="F12" s="73"/>
    </row>
    <row r="13" spans="1:7">
      <c r="A13" s="418" t="s">
        <v>682</v>
      </c>
      <c r="B13" s="419"/>
      <c r="C13" s="419"/>
      <c r="D13" s="419"/>
      <c r="E13" s="419"/>
      <c r="F13" s="419"/>
      <c r="G13" s="419"/>
    </row>
    <row r="14" spans="1:7">
      <c r="A14" s="74" t="s">
        <v>683</v>
      </c>
      <c r="B14" s="74" t="s">
        <v>684</v>
      </c>
      <c r="C14" s="74" t="s">
        <v>685</v>
      </c>
      <c r="D14" s="75" t="s">
        <v>686</v>
      </c>
      <c r="E14" s="74" t="s">
        <v>687</v>
      </c>
      <c r="F14" s="74" t="s">
        <v>688</v>
      </c>
      <c r="G14" s="69"/>
    </row>
    <row r="15" spans="1:7">
      <c r="A15" s="76">
        <v>172</v>
      </c>
      <c r="B15" s="77" t="s">
        <v>689</v>
      </c>
      <c r="C15" s="77" t="s">
        <v>690</v>
      </c>
      <c r="D15" s="78">
        <v>58.06</v>
      </c>
      <c r="E15" s="55">
        <f t="shared" ref="E15:E22" si="0">A15*D15</f>
        <v>9986.32</v>
      </c>
      <c r="F15" s="79">
        <v>70</v>
      </c>
      <c r="G15" s="80"/>
    </row>
    <row r="16" spans="1:7">
      <c r="A16" s="76">
        <v>172</v>
      </c>
      <c r="B16" s="81" t="s">
        <v>691</v>
      </c>
      <c r="C16" s="81" t="s">
        <v>692</v>
      </c>
      <c r="D16" s="82">
        <v>4.8499999999999996</v>
      </c>
      <c r="E16" s="55">
        <f t="shared" si="0"/>
        <v>834.19999999999993</v>
      </c>
      <c r="F16" s="79">
        <v>6</v>
      </c>
      <c r="G16" s="83"/>
    </row>
    <row r="17" spans="1:7">
      <c r="A17" s="76">
        <v>172</v>
      </c>
      <c r="B17" s="81" t="s">
        <v>693</v>
      </c>
      <c r="C17" s="81" t="s">
        <v>694</v>
      </c>
      <c r="D17" s="82">
        <v>5.33</v>
      </c>
      <c r="E17" s="55">
        <f t="shared" si="0"/>
        <v>916.76</v>
      </c>
      <c r="F17" s="79">
        <v>7</v>
      </c>
      <c r="G17" s="80"/>
    </row>
    <row r="18" spans="1:7">
      <c r="A18" s="76">
        <v>172</v>
      </c>
      <c r="B18" s="81" t="s">
        <v>695</v>
      </c>
      <c r="C18" s="81" t="s">
        <v>696</v>
      </c>
      <c r="D18" s="82">
        <v>4.97</v>
      </c>
      <c r="E18" s="55">
        <f t="shared" si="0"/>
        <v>854.83999999999992</v>
      </c>
      <c r="F18" s="79">
        <v>6</v>
      </c>
      <c r="G18" s="83"/>
    </row>
    <row r="19" spans="1:7">
      <c r="A19" s="76">
        <v>172</v>
      </c>
      <c r="B19" s="77" t="s">
        <v>697</v>
      </c>
      <c r="C19" s="77" t="s">
        <v>698</v>
      </c>
      <c r="D19" s="78">
        <v>4.7300000000000004</v>
      </c>
      <c r="E19" s="55">
        <f t="shared" si="0"/>
        <v>813.56000000000006</v>
      </c>
      <c r="F19" s="79">
        <v>6</v>
      </c>
      <c r="G19" s="80" t="s">
        <v>699</v>
      </c>
    </row>
    <row r="20" spans="1:7">
      <c r="A20" s="76">
        <v>1</v>
      </c>
      <c r="B20" s="81" t="s">
        <v>700</v>
      </c>
      <c r="C20" s="81" t="s">
        <v>701</v>
      </c>
      <c r="D20" s="82">
        <v>1313.09</v>
      </c>
      <c r="E20" s="55">
        <f t="shared" si="0"/>
        <v>1313.09</v>
      </c>
      <c r="F20" s="79">
        <v>1584</v>
      </c>
      <c r="G20" s="80"/>
    </row>
    <row r="21" spans="1:7">
      <c r="A21" s="76">
        <v>1</v>
      </c>
      <c r="B21" s="81" t="s">
        <v>702</v>
      </c>
      <c r="C21" s="81" t="s">
        <v>703</v>
      </c>
      <c r="D21" s="82">
        <v>1795.52</v>
      </c>
      <c r="E21" s="55">
        <f t="shared" si="0"/>
        <v>1795.52</v>
      </c>
      <c r="F21" s="84">
        <v>2160</v>
      </c>
      <c r="G21" s="80"/>
    </row>
    <row r="22" spans="1:7">
      <c r="A22" s="85">
        <v>1</v>
      </c>
      <c r="B22" s="86" t="s">
        <v>704</v>
      </c>
      <c r="C22" s="87" t="s">
        <v>705</v>
      </c>
      <c r="D22" s="88">
        <v>3031.52</v>
      </c>
      <c r="E22" s="55">
        <f t="shared" si="0"/>
        <v>3031.52</v>
      </c>
      <c r="F22" s="89">
        <v>3647</v>
      </c>
      <c r="G22" s="90"/>
    </row>
    <row r="23" spans="1:7">
      <c r="A23" s="91" t="s">
        <v>706</v>
      </c>
      <c r="B23" s="58"/>
      <c r="C23" s="92"/>
      <c r="D23" s="55"/>
      <c r="E23" s="55">
        <f>SUM(E15:E22)</f>
        <v>19545.810000000001</v>
      </c>
    </row>
    <row r="24" spans="1:7">
      <c r="B24" s="58" t="s">
        <v>416</v>
      </c>
      <c r="C24" s="56" t="s">
        <v>712</v>
      </c>
      <c r="D24" s="93">
        <f>SUM(D15:D19)</f>
        <v>77.940000000000012</v>
      </c>
      <c r="E24" s="57"/>
      <c r="F24" s="92"/>
    </row>
    <row r="25" spans="1:7">
      <c r="A25" s="56"/>
      <c r="B25" s="58"/>
      <c r="C25" s="58" t="s">
        <v>713</v>
      </c>
      <c r="D25" s="93">
        <f>SUM(E15:E19)</f>
        <v>13405.68</v>
      </c>
      <c r="E25" s="57"/>
      <c r="F25" s="92"/>
    </row>
    <row r="26" spans="1:7">
      <c r="A26" s="56"/>
      <c r="B26" s="58"/>
      <c r="C26" s="58" t="s">
        <v>714</v>
      </c>
      <c r="D26" s="93">
        <f>D25/437</f>
        <v>30.676613272311215</v>
      </c>
      <c r="E26" s="57"/>
      <c r="F26" s="92"/>
    </row>
    <row r="27" spans="1:7">
      <c r="A27" s="92" t="s">
        <v>707</v>
      </c>
      <c r="B27" s="94">
        <f>B5+30</f>
        <v>41307</v>
      </c>
      <c r="C27" s="58"/>
      <c r="D27" s="93"/>
      <c r="E27" s="57"/>
      <c r="F27" s="92"/>
    </row>
    <row r="28" spans="1:7">
      <c r="E28" s="36"/>
    </row>
    <row r="29" spans="1:7">
      <c r="A29" s="420" t="s">
        <v>708</v>
      </c>
      <c r="B29" s="420"/>
      <c r="C29" s="420"/>
      <c r="D29" s="420"/>
      <c r="E29" s="420"/>
      <c r="F29" s="420"/>
      <c r="G29" s="420"/>
    </row>
    <row r="30" spans="1:7">
      <c r="A30" s="421" t="s">
        <v>709</v>
      </c>
      <c r="B30" s="421"/>
      <c r="C30" s="421"/>
      <c r="D30" s="421"/>
      <c r="E30" s="421"/>
      <c r="F30" s="421"/>
      <c r="G30" s="421"/>
    </row>
    <row r="31" spans="1:7">
      <c r="A31" s="421"/>
      <c r="B31" s="421"/>
      <c r="C31" s="421"/>
      <c r="D31" s="421"/>
      <c r="E31" s="421"/>
      <c r="F31" s="421"/>
      <c r="G31" s="421"/>
    </row>
    <row r="32" spans="1:7">
      <c r="A32" s="421"/>
      <c r="B32" s="421"/>
      <c r="C32" s="421"/>
      <c r="D32" s="421"/>
      <c r="E32" s="421"/>
      <c r="F32" s="421"/>
      <c r="G32" s="421"/>
    </row>
    <row r="33" spans="1:7">
      <c r="E33" s="36"/>
    </row>
    <row r="34" spans="1:7">
      <c r="A34" s="422" t="s">
        <v>710</v>
      </c>
      <c r="B34" s="422"/>
      <c r="C34" s="422"/>
      <c r="D34" s="422"/>
      <c r="E34" s="422"/>
      <c r="F34" s="422"/>
      <c r="G34" s="422"/>
    </row>
    <row r="35" spans="1:7">
      <c r="E35" s="36"/>
    </row>
    <row r="36" spans="1:7">
      <c r="E36" s="36"/>
    </row>
    <row r="37" spans="1:7">
      <c r="E37" s="36"/>
    </row>
    <row r="38" spans="1:7">
      <c r="E38" s="36"/>
    </row>
    <row r="39" spans="1:7">
      <c r="E39" s="36"/>
    </row>
    <row r="40" spans="1:7">
      <c r="A40" s="409"/>
      <c r="B40" s="409"/>
      <c r="C40" s="409"/>
      <c r="D40" s="409"/>
      <c r="E40" s="95"/>
      <c r="F40" s="96"/>
      <c r="G40" s="96"/>
    </row>
    <row r="41" spans="1:7">
      <c r="A41" s="423"/>
      <c r="B41" s="423"/>
      <c r="C41" s="423"/>
      <c r="D41" s="423"/>
      <c r="E41" s="95"/>
      <c r="F41" s="96"/>
      <c r="G41" s="96"/>
    </row>
    <row r="42" spans="1:7">
      <c r="A42" s="424"/>
      <c r="B42" s="424"/>
      <c r="C42" s="424"/>
      <c r="D42" s="424"/>
      <c r="E42" s="424"/>
      <c r="F42" s="424"/>
      <c r="G42" s="424"/>
    </row>
    <row r="43" spans="1:7">
      <c r="A43" s="424"/>
      <c r="B43" s="424"/>
      <c r="C43" s="424"/>
      <c r="D43" s="424"/>
      <c r="E43" s="424"/>
      <c r="F43" s="424"/>
      <c r="G43" s="424"/>
    </row>
    <row r="44" spans="1:7">
      <c r="A44" s="425"/>
      <c r="B44" s="425"/>
      <c r="C44" s="425"/>
      <c r="D44" s="425"/>
      <c r="E44" s="425"/>
      <c r="F44" s="425"/>
      <c r="G44" s="425"/>
    </row>
    <row r="45" spans="1:7">
      <c r="A45" s="424"/>
      <c r="B45" s="424"/>
      <c r="C45" s="424"/>
      <c r="D45" s="424"/>
      <c r="E45" s="424"/>
      <c r="F45" s="424"/>
      <c r="G45" s="424"/>
    </row>
    <row r="46" spans="1:7">
      <c r="A46" s="424"/>
      <c r="B46" s="424"/>
      <c r="C46" s="424"/>
      <c r="D46" s="424"/>
      <c r="E46" s="424"/>
      <c r="F46" s="424"/>
      <c r="G46" s="424"/>
    </row>
    <row r="47" spans="1:7">
      <c r="A47" s="424"/>
      <c r="B47" s="424"/>
      <c r="C47" s="424"/>
      <c r="D47" s="424"/>
      <c r="E47" s="424"/>
      <c r="F47" s="424"/>
      <c r="G47" s="424"/>
    </row>
    <row r="48" spans="1:7">
      <c r="A48" s="97"/>
      <c r="B48" s="97"/>
      <c r="C48" s="97"/>
      <c r="D48" s="97"/>
      <c r="E48" s="36"/>
    </row>
    <row r="49" spans="1:7">
      <c r="E49" s="36"/>
    </row>
    <row r="50" spans="1:7">
      <c r="E50" s="36"/>
    </row>
    <row r="51" spans="1:7">
      <c r="E51" s="36"/>
    </row>
    <row r="52" spans="1:7">
      <c r="E52" s="36"/>
    </row>
    <row r="53" spans="1:7">
      <c r="E53" s="36"/>
    </row>
    <row r="54" spans="1:7">
      <c r="E54" s="36"/>
    </row>
    <row r="55" spans="1:7">
      <c r="E55" s="36"/>
    </row>
    <row r="56" spans="1:7">
      <c r="E56" s="36"/>
    </row>
    <row r="57" spans="1:7">
      <c r="E57" s="36"/>
    </row>
    <row r="58" spans="1:7">
      <c r="E58" s="36"/>
    </row>
    <row r="59" spans="1:7">
      <c r="E59" s="36"/>
    </row>
    <row r="60" spans="1:7">
      <c r="E60" s="36"/>
    </row>
    <row r="61" spans="1:7">
      <c r="E61" s="36"/>
    </row>
    <row r="62" spans="1:7">
      <c r="E62" s="36"/>
    </row>
    <row r="63" spans="1:7">
      <c r="E63" s="36"/>
    </row>
    <row r="64" spans="1:7">
      <c r="A64" s="426" t="s">
        <v>711</v>
      </c>
      <c r="B64" s="427"/>
      <c r="C64" s="427"/>
      <c r="D64" s="427"/>
      <c r="E64" s="427"/>
      <c r="F64" s="427"/>
      <c r="G64" s="427"/>
    </row>
    <row r="65" spans="5:5">
      <c r="E65" s="36"/>
    </row>
    <row r="66" spans="5:5">
      <c r="E66" s="36"/>
    </row>
    <row r="67" spans="5:5">
      <c r="E67" s="36"/>
    </row>
    <row r="68" spans="5:5">
      <c r="E68" s="36"/>
    </row>
    <row r="69" spans="5:5">
      <c r="E69" s="36"/>
    </row>
    <row r="70" spans="5:5">
      <c r="E70" s="36"/>
    </row>
    <row r="71" spans="5:5">
      <c r="E71" s="36"/>
    </row>
    <row r="72" spans="5:5">
      <c r="E72" s="36"/>
    </row>
  </sheetData>
  <mergeCells count="23">
    <mergeCell ref="A41:D41"/>
    <mergeCell ref="A42:G43"/>
    <mergeCell ref="A44:G44"/>
    <mergeCell ref="A45:G47"/>
    <mergeCell ref="A64:G64"/>
    <mergeCell ref="A40:D40"/>
    <mergeCell ref="B7:C7"/>
    <mergeCell ref="F7:G7"/>
    <mergeCell ref="B8:C8"/>
    <mergeCell ref="F8:G8"/>
    <mergeCell ref="B9:C9"/>
    <mergeCell ref="E10:F10"/>
    <mergeCell ref="A11:F11"/>
    <mergeCell ref="A13:G13"/>
    <mergeCell ref="A29:G29"/>
    <mergeCell ref="A30:G32"/>
    <mergeCell ref="A34:G34"/>
    <mergeCell ref="F6:G6"/>
    <mergeCell ref="A1:E1"/>
    <mergeCell ref="A2:E2"/>
    <mergeCell ref="A3:D3"/>
    <mergeCell ref="A4:B4"/>
    <mergeCell ref="F5:G5"/>
  </mergeCells>
  <conditionalFormatting sqref="A20:F21 E22">
    <cfRule type="expression" dxfId="1" priority="1" stopIfTrue="1">
      <formula>MOD(ROW( ),2)=0</formula>
    </cfRule>
  </conditionalFormatting>
  <conditionalFormatting sqref="A15:F19">
    <cfRule type="expression" dxfId="0" priority="2" stopIfTrue="1">
      <formula>MOD(ROW( ),2)=0</formula>
    </cfRule>
  </conditionalFormatting>
  <hyperlinks>
    <hyperlink ref="B9" r:id="rId1"/>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B18" sqref="B18"/>
    </sheetView>
  </sheetViews>
  <sheetFormatPr defaultRowHeight="16.5"/>
  <cols>
    <col min="1" max="1" width="53" customWidth="1"/>
    <col min="2" max="2" width="16.375" customWidth="1"/>
    <col min="3" max="3" width="21.625" customWidth="1"/>
    <col min="4" max="4" width="33.375" customWidth="1"/>
    <col min="5" max="5" width="2.75" customWidth="1"/>
    <col min="6" max="6" width="39.75" customWidth="1"/>
    <col min="7" max="7" width="11.125" bestFit="1" customWidth="1"/>
    <col min="8" max="8" width="13.875" customWidth="1"/>
    <col min="9" max="9" width="33.375" bestFit="1" customWidth="1"/>
  </cols>
  <sheetData>
    <row r="1" spans="1:9">
      <c r="A1" t="s">
        <v>1054</v>
      </c>
      <c r="B1" t="s">
        <v>1070</v>
      </c>
      <c r="C1" t="s">
        <v>1071</v>
      </c>
      <c r="D1" t="s">
        <v>1072</v>
      </c>
      <c r="E1" s="354"/>
      <c r="F1" t="s">
        <v>1055</v>
      </c>
      <c r="G1" t="s">
        <v>1070</v>
      </c>
      <c r="H1" t="s">
        <v>1071</v>
      </c>
      <c r="I1" t="s">
        <v>1072</v>
      </c>
    </row>
    <row r="2" spans="1:9">
      <c r="E2" s="354"/>
    </row>
    <row r="3" spans="1:9">
      <c r="E3" s="354"/>
    </row>
    <row r="4" spans="1:9">
      <c r="A4" t="s">
        <v>1049</v>
      </c>
      <c r="B4" s="99">
        <f>'MS Campus Agreement Detailed'!D26</f>
        <v>30.676613272311215</v>
      </c>
      <c r="C4" s="342">
        <f>B4/12</f>
        <v>2.5563844393592681</v>
      </c>
      <c r="D4" s="342">
        <f>B4/250</f>
        <v>0.12270645308924485</v>
      </c>
      <c r="E4" s="355"/>
      <c r="F4" t="s">
        <v>1056</v>
      </c>
      <c r="G4" s="99">
        <f>'MSU 4 Campus Cost Sharing'!D16/'Chargeback Models'!G24</f>
        <v>119.22485538461537</v>
      </c>
      <c r="H4" s="342">
        <f>G4/12</f>
        <v>9.9354046153846145</v>
      </c>
      <c r="I4" s="342">
        <f>G4/250</f>
        <v>0.47689942153846149</v>
      </c>
    </row>
    <row r="5" spans="1:9">
      <c r="A5" t="s">
        <v>1050</v>
      </c>
      <c r="B5" s="99">
        <f>'Software Licensing'!G84/'Software Licensing'!D84</f>
        <v>9</v>
      </c>
      <c r="C5" s="342">
        <f t="shared" ref="C5:C34" si="0">B5/12</f>
        <v>0.75</v>
      </c>
      <c r="D5" s="342">
        <f t="shared" ref="D5:D34" si="1">B5/250</f>
        <v>3.5999999999999997E-2</v>
      </c>
      <c r="E5" s="355"/>
      <c r="F5" t="s">
        <v>1058</v>
      </c>
      <c r="G5" s="100">
        <f>SUM('Hardware Maintenance Summary'!B5:B7)/G24</f>
        <v>194.47642307692306</v>
      </c>
      <c r="H5" s="342">
        <f t="shared" ref="H5:H27" si="2">G5/12</f>
        <v>16.206368589743587</v>
      </c>
      <c r="I5" s="342">
        <f t="shared" ref="I5:I6" si="3">G5/250</f>
        <v>0.77790569230769224</v>
      </c>
    </row>
    <row r="6" spans="1:9">
      <c r="A6" t="s">
        <v>1051</v>
      </c>
      <c r="B6" s="99">
        <f>'MSU 4 Campus Cost Sharing'!D26/'Chargeback Models'!B24</f>
        <v>3.6732530607612457</v>
      </c>
      <c r="C6" s="342">
        <f t="shared" si="0"/>
        <v>0.30610442173010383</v>
      </c>
      <c r="D6" s="342">
        <f t="shared" si="1"/>
        <v>1.4693012243044984E-2</v>
      </c>
      <c r="E6" s="355"/>
      <c r="F6" t="s">
        <v>1061</v>
      </c>
      <c r="G6" s="342">
        <f>'Software Licensing'!C10/G24</f>
        <v>9.6923076923076916</v>
      </c>
      <c r="H6" s="342">
        <f t="shared" si="2"/>
        <v>0.8076923076923076</v>
      </c>
      <c r="I6" s="342">
        <f t="shared" si="3"/>
        <v>3.8769230769230764E-2</v>
      </c>
    </row>
    <row r="7" spans="1:9">
      <c r="A7" t="s">
        <v>1053</v>
      </c>
      <c r="B7" s="99">
        <f>('Software Licensing'!G51/3+'Software Licensing'!G58+'Software Licensing'!G59)/B24</f>
        <v>6.3818512110726644</v>
      </c>
      <c r="C7" s="342">
        <f t="shared" si="0"/>
        <v>0.53182093425605537</v>
      </c>
      <c r="D7" s="342">
        <f t="shared" si="1"/>
        <v>2.5527404844290658E-2</v>
      </c>
      <c r="E7" s="355"/>
      <c r="H7" s="342">
        <f t="shared" si="2"/>
        <v>0</v>
      </c>
      <c r="I7" s="342">
        <f t="shared" ref="I7:I27" si="4">G7/250</f>
        <v>0</v>
      </c>
    </row>
    <row r="8" spans="1:9">
      <c r="A8" t="s">
        <v>1059</v>
      </c>
      <c r="B8" s="99">
        <f>(('Hardware Maintenance Summary'!B9)/B24)</f>
        <v>10.176470588235293</v>
      </c>
      <c r="C8" s="342">
        <f t="shared" si="0"/>
        <v>0.84803921568627449</v>
      </c>
      <c r="D8" s="342">
        <f t="shared" si="1"/>
        <v>4.0705882352941175E-2</v>
      </c>
      <c r="E8" s="355"/>
      <c r="H8" s="342">
        <f t="shared" si="2"/>
        <v>0</v>
      </c>
      <c r="I8" s="342">
        <f t="shared" si="4"/>
        <v>0</v>
      </c>
    </row>
    <row r="9" spans="1:9">
      <c r="A9" t="s">
        <v>1060</v>
      </c>
      <c r="B9" s="99">
        <f>'Software Licensing'!C3/'Chargeback Models'!B24</f>
        <v>7.8114186851211072</v>
      </c>
      <c r="C9" s="342">
        <f t="shared" si="0"/>
        <v>0.65095155709342556</v>
      </c>
      <c r="D9" s="342">
        <f t="shared" si="1"/>
        <v>3.1245674740484428E-2</v>
      </c>
      <c r="E9" s="355"/>
      <c r="H9" s="342">
        <f t="shared" si="2"/>
        <v>0</v>
      </c>
      <c r="I9" s="342">
        <f t="shared" si="4"/>
        <v>0</v>
      </c>
    </row>
    <row r="10" spans="1:9">
      <c r="A10" t="s">
        <v>1073</v>
      </c>
      <c r="B10" s="99">
        <f>(('Software Licensing'!C7+'Software Licensing'!D32+'Software Licensing'!D33+'Software Licensing'!C19)/3)/B24</f>
        <v>0.32621107266435984</v>
      </c>
      <c r="C10" s="342">
        <f t="shared" si="0"/>
        <v>2.7184256055363318E-2</v>
      </c>
      <c r="D10" s="342">
        <f t="shared" si="1"/>
        <v>1.3048442906574394E-3</v>
      </c>
      <c r="E10" s="355"/>
      <c r="H10" s="342">
        <f t="shared" si="2"/>
        <v>0</v>
      </c>
      <c r="I10" s="342">
        <f t="shared" si="4"/>
        <v>0</v>
      </c>
    </row>
    <row r="11" spans="1:9">
      <c r="A11" t="s">
        <v>1062</v>
      </c>
      <c r="B11" s="99">
        <f>'Software Licensing'!C16/B24</f>
        <v>2.179930795847751</v>
      </c>
      <c r="C11" s="342">
        <f t="shared" si="0"/>
        <v>0.18166089965397925</v>
      </c>
      <c r="D11" s="342">
        <f t="shared" si="1"/>
        <v>8.7197231833910042E-3</v>
      </c>
      <c r="E11" s="355"/>
      <c r="H11" s="342">
        <f t="shared" si="2"/>
        <v>0</v>
      </c>
      <c r="I11" s="342">
        <f t="shared" si="4"/>
        <v>0</v>
      </c>
    </row>
    <row r="12" spans="1:9">
      <c r="A12" t="s">
        <v>1063</v>
      </c>
      <c r="B12" s="99">
        <f>(('Hardware Maintenance Summary'!C4+'Hardware Maintenance Summary'!C15)/3)/B24</f>
        <v>19.607843137254903</v>
      </c>
      <c r="C12" s="342">
        <f t="shared" si="0"/>
        <v>1.6339869281045754</v>
      </c>
      <c r="D12" s="342">
        <f t="shared" si="1"/>
        <v>7.8431372549019607E-2</v>
      </c>
      <c r="E12" s="355"/>
      <c r="H12" s="342">
        <f t="shared" si="2"/>
        <v>0</v>
      </c>
      <c r="I12" s="342">
        <f t="shared" si="4"/>
        <v>0</v>
      </c>
    </row>
    <row r="13" spans="1:9">
      <c r="B13" s="99"/>
      <c r="C13" s="342">
        <f t="shared" si="0"/>
        <v>0</v>
      </c>
      <c r="D13" s="342">
        <f t="shared" si="1"/>
        <v>0</v>
      </c>
      <c r="E13" s="355"/>
      <c r="H13" s="342">
        <f t="shared" si="2"/>
        <v>0</v>
      </c>
      <c r="I13" s="342">
        <f t="shared" si="4"/>
        <v>0</v>
      </c>
    </row>
    <row r="14" spans="1:9">
      <c r="B14" s="99"/>
      <c r="C14" s="342">
        <f t="shared" si="0"/>
        <v>0</v>
      </c>
      <c r="D14" s="342">
        <f t="shared" si="1"/>
        <v>0</v>
      </c>
      <c r="E14" s="355"/>
      <c r="H14" s="342">
        <f t="shared" si="2"/>
        <v>0</v>
      </c>
      <c r="I14" s="342">
        <f t="shared" si="4"/>
        <v>0</v>
      </c>
    </row>
    <row r="15" spans="1:9">
      <c r="A15" t="s">
        <v>1047</v>
      </c>
      <c r="B15" s="99">
        <f>SUM(B4:B14)</f>
        <v>89.833591823268549</v>
      </c>
      <c r="C15" s="342">
        <f t="shared" si="0"/>
        <v>7.4861326519390454</v>
      </c>
      <c r="D15" s="342">
        <f t="shared" si="1"/>
        <v>0.35933436729307422</v>
      </c>
      <c r="E15" s="355"/>
      <c r="G15" s="99">
        <f>SUM(G4:G14)</f>
        <v>323.39358615384612</v>
      </c>
      <c r="H15" s="342">
        <f t="shared" si="2"/>
        <v>26.94946551282051</v>
      </c>
      <c r="I15" s="342">
        <f t="shared" si="4"/>
        <v>1.2935743446153845</v>
      </c>
    </row>
    <row r="16" spans="1:9">
      <c r="B16" s="99"/>
      <c r="C16" s="342">
        <f t="shared" si="0"/>
        <v>0</v>
      </c>
      <c r="D16" s="342">
        <f t="shared" si="1"/>
        <v>0</v>
      </c>
      <c r="E16" s="355"/>
      <c r="H16" s="342">
        <f t="shared" si="2"/>
        <v>0</v>
      </c>
      <c r="I16" s="342">
        <f t="shared" si="4"/>
        <v>0</v>
      </c>
    </row>
    <row r="17" spans="1:9">
      <c r="A17" t="s">
        <v>1048</v>
      </c>
      <c r="B17" s="99">
        <v>125</v>
      </c>
      <c r="C17" s="342">
        <f t="shared" si="0"/>
        <v>10.416666666666666</v>
      </c>
      <c r="D17" s="342">
        <f t="shared" si="1"/>
        <v>0.5</v>
      </c>
      <c r="E17" s="355"/>
      <c r="G17" s="99">
        <v>300</v>
      </c>
      <c r="H17" s="342">
        <f t="shared" si="2"/>
        <v>25</v>
      </c>
      <c r="I17" s="342">
        <f t="shared" si="4"/>
        <v>1.2</v>
      </c>
    </row>
    <row r="18" spans="1:9">
      <c r="C18" s="342">
        <f t="shared" si="0"/>
        <v>0</v>
      </c>
      <c r="D18" s="342">
        <f t="shared" si="1"/>
        <v>0</v>
      </c>
      <c r="E18" s="355"/>
      <c r="G18" s="99"/>
      <c r="H18" s="342">
        <f t="shared" si="2"/>
        <v>0</v>
      </c>
      <c r="I18" s="342">
        <f t="shared" si="4"/>
        <v>0</v>
      </c>
    </row>
    <row r="19" spans="1:9">
      <c r="A19" t="s">
        <v>1052</v>
      </c>
      <c r="B19" s="353">
        <f>B17-B15</f>
        <v>35.166408176731451</v>
      </c>
      <c r="C19" s="342">
        <f t="shared" si="0"/>
        <v>2.9305340147276211</v>
      </c>
      <c r="D19" s="342">
        <f t="shared" si="1"/>
        <v>0.14066563270692581</v>
      </c>
      <c r="E19" s="355"/>
      <c r="G19" s="351">
        <f>G17-G15</f>
        <v>-23.393586153846115</v>
      </c>
      <c r="H19" s="342">
        <f t="shared" si="2"/>
        <v>-1.9494655128205096</v>
      </c>
      <c r="I19" s="342">
        <f t="shared" si="4"/>
        <v>-9.3574344615384455E-2</v>
      </c>
    </row>
    <row r="20" spans="1:9">
      <c r="C20" s="342">
        <f t="shared" si="0"/>
        <v>0</v>
      </c>
      <c r="D20" s="342">
        <f t="shared" si="1"/>
        <v>0</v>
      </c>
      <c r="E20" s="355"/>
      <c r="H20" s="342">
        <f t="shared" si="2"/>
        <v>0</v>
      </c>
      <c r="I20" s="342">
        <f t="shared" si="4"/>
        <v>0</v>
      </c>
    </row>
    <row r="21" spans="1:9">
      <c r="C21" s="342">
        <f t="shared" si="0"/>
        <v>0</v>
      </c>
      <c r="D21" s="342">
        <f t="shared" si="1"/>
        <v>0</v>
      </c>
      <c r="E21" s="355"/>
      <c r="H21" s="342">
        <f t="shared" si="2"/>
        <v>0</v>
      </c>
      <c r="I21" s="342">
        <f t="shared" si="4"/>
        <v>0</v>
      </c>
    </row>
    <row r="22" spans="1:9">
      <c r="C22" s="342">
        <f t="shared" si="0"/>
        <v>0</v>
      </c>
      <c r="D22" s="342">
        <f t="shared" si="1"/>
        <v>0</v>
      </c>
      <c r="E22" s="355"/>
      <c r="H22" s="342">
        <f t="shared" si="2"/>
        <v>0</v>
      </c>
      <c r="I22" s="342">
        <f t="shared" si="4"/>
        <v>0</v>
      </c>
    </row>
    <row r="23" spans="1:9">
      <c r="C23" s="342">
        <f t="shared" si="0"/>
        <v>0</v>
      </c>
      <c r="D23" s="342">
        <f t="shared" si="1"/>
        <v>0</v>
      </c>
      <c r="E23" s="355"/>
      <c r="H23" s="342">
        <f t="shared" si="2"/>
        <v>0</v>
      </c>
      <c r="I23" s="342">
        <f t="shared" si="4"/>
        <v>0</v>
      </c>
    </row>
    <row r="24" spans="1:9">
      <c r="A24" t="s">
        <v>1057</v>
      </c>
      <c r="B24">
        <v>578</v>
      </c>
      <c r="C24" s="342">
        <f t="shared" si="0"/>
        <v>48.166666666666664</v>
      </c>
      <c r="D24" s="342">
        <f t="shared" si="1"/>
        <v>2.3119999999999998</v>
      </c>
      <c r="E24" s="355"/>
      <c r="G24">
        <v>260</v>
      </c>
      <c r="H24" s="342">
        <f t="shared" si="2"/>
        <v>21.666666666666668</v>
      </c>
      <c r="I24" s="342">
        <f t="shared" si="4"/>
        <v>1.04</v>
      </c>
    </row>
    <row r="25" spans="1:9">
      <c r="C25" s="342">
        <f t="shared" si="0"/>
        <v>0</v>
      </c>
      <c r="D25" s="342">
        <f t="shared" si="1"/>
        <v>0</v>
      </c>
      <c r="E25" s="355"/>
      <c r="H25" s="342">
        <f t="shared" si="2"/>
        <v>0</v>
      </c>
      <c r="I25" s="342">
        <f t="shared" si="4"/>
        <v>0</v>
      </c>
    </row>
    <row r="26" spans="1:9">
      <c r="C26" s="342">
        <f t="shared" si="0"/>
        <v>0</v>
      </c>
      <c r="D26" s="342">
        <f t="shared" si="1"/>
        <v>0</v>
      </c>
      <c r="E26" s="355"/>
      <c r="H26" s="342">
        <f t="shared" si="2"/>
        <v>0</v>
      </c>
      <c r="I26" s="342">
        <f t="shared" si="4"/>
        <v>0</v>
      </c>
    </row>
    <row r="27" spans="1:9">
      <c r="A27" t="s">
        <v>1064</v>
      </c>
      <c r="B27" s="351">
        <f>B24*B19</f>
        <v>20326.183926150778</v>
      </c>
      <c r="C27" s="342">
        <f t="shared" si="0"/>
        <v>1693.8486605125647</v>
      </c>
      <c r="D27" s="342">
        <f t="shared" si="1"/>
        <v>81.304735704603104</v>
      </c>
      <c r="E27" s="355"/>
      <c r="G27" s="351">
        <f>G19*G24</f>
        <v>-6082.3323999999902</v>
      </c>
      <c r="H27" s="342">
        <f t="shared" si="2"/>
        <v>-506.8610333333325</v>
      </c>
      <c r="I27" s="342">
        <f t="shared" si="4"/>
        <v>-24.329329599999962</v>
      </c>
    </row>
    <row r="28" spans="1:9">
      <c r="A28" t="s">
        <v>1065</v>
      </c>
      <c r="B28" s="353">
        <f>B27+G27</f>
        <v>14243.851526150787</v>
      </c>
      <c r="C28" s="342">
        <f t="shared" si="0"/>
        <v>1186.9876271792323</v>
      </c>
      <c r="D28" s="342">
        <f t="shared" si="1"/>
        <v>56.975406104603152</v>
      </c>
      <c r="E28" s="355"/>
    </row>
    <row r="29" spans="1:9">
      <c r="A29" s="354"/>
      <c r="B29" s="354"/>
      <c r="C29" s="355">
        <f t="shared" si="0"/>
        <v>0</v>
      </c>
      <c r="D29" s="355">
        <f t="shared" si="1"/>
        <v>0</v>
      </c>
      <c r="E29" s="355"/>
    </row>
    <row r="30" spans="1:9">
      <c r="A30" t="s">
        <v>1066</v>
      </c>
      <c r="B30">
        <v>79</v>
      </c>
      <c r="C30" s="342">
        <f t="shared" si="0"/>
        <v>6.583333333333333</v>
      </c>
      <c r="D30" s="342">
        <f t="shared" si="1"/>
        <v>0.316</v>
      </c>
      <c r="E30" s="355"/>
    </row>
    <row r="31" spans="1:9">
      <c r="A31" t="s">
        <v>1067</v>
      </c>
      <c r="B31">
        <v>80</v>
      </c>
      <c r="C31" s="342">
        <f t="shared" si="0"/>
        <v>6.666666666666667</v>
      </c>
      <c r="D31" s="342">
        <f t="shared" si="1"/>
        <v>0.32</v>
      </c>
      <c r="E31" s="355"/>
    </row>
    <row r="32" spans="1:9">
      <c r="A32" t="s">
        <v>1068</v>
      </c>
      <c r="B32" s="99">
        <f>B30*B31</f>
        <v>6320</v>
      </c>
      <c r="C32" s="342">
        <f t="shared" si="0"/>
        <v>526.66666666666663</v>
      </c>
      <c r="D32" s="342">
        <f t="shared" si="1"/>
        <v>25.28</v>
      </c>
      <c r="E32" s="355"/>
    </row>
    <row r="33" spans="1:5">
      <c r="C33" s="342">
        <f t="shared" si="0"/>
        <v>0</v>
      </c>
      <c r="D33" s="342">
        <f t="shared" si="1"/>
        <v>0</v>
      </c>
      <c r="E33" s="355"/>
    </row>
    <row r="34" spans="1:5">
      <c r="A34" t="s">
        <v>1069</v>
      </c>
      <c r="B34" s="353">
        <f>B28+B32</f>
        <v>20563.851526150786</v>
      </c>
      <c r="C34" s="342">
        <f t="shared" si="0"/>
        <v>1713.6542938458988</v>
      </c>
      <c r="D34" s="342">
        <f t="shared" si="1"/>
        <v>82.255406104603139</v>
      </c>
      <c r="E34" s="355"/>
    </row>
    <row r="35" spans="1:5">
      <c r="E35" s="35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opLeftCell="A13" workbookViewId="0">
      <selection activeCell="B49" sqref="B49"/>
    </sheetView>
  </sheetViews>
  <sheetFormatPr defaultRowHeight="16.5"/>
  <cols>
    <col min="1" max="1" width="5.5" bestFit="1" customWidth="1"/>
    <col min="2" max="2" width="17.5" customWidth="1"/>
    <col min="3" max="3" width="46.375" bestFit="1" customWidth="1"/>
    <col min="4" max="4" width="10.125" bestFit="1" customWidth="1"/>
    <col min="5" max="5" width="6.5" bestFit="1" customWidth="1"/>
    <col min="7" max="7" width="3.625" bestFit="1" customWidth="1"/>
    <col min="9" max="9" width="9.875" bestFit="1" customWidth="1"/>
    <col min="11" max="11" width="17.375" bestFit="1" customWidth="1"/>
  </cols>
  <sheetData>
    <row r="1" spans="1:11" ht="33">
      <c r="A1" s="358" t="s">
        <v>1386</v>
      </c>
      <c r="B1" s="358" t="s">
        <v>1387</v>
      </c>
      <c r="C1" s="358" t="s">
        <v>1077</v>
      </c>
      <c r="D1" s="359" t="s">
        <v>1388</v>
      </c>
      <c r="E1" s="359" t="s">
        <v>1389</v>
      </c>
      <c r="F1" s="359" t="s">
        <v>1390</v>
      </c>
      <c r="G1" s="358" t="s">
        <v>1391</v>
      </c>
      <c r="H1" s="360" t="s">
        <v>1392</v>
      </c>
      <c r="I1" s="361" t="s">
        <v>1393</v>
      </c>
      <c r="J1" s="358" t="s">
        <v>1394</v>
      </c>
      <c r="K1" s="361" t="s">
        <v>1395</v>
      </c>
    </row>
    <row r="2" spans="1:11" ht="17.25">
      <c r="A2" s="362">
        <v>1</v>
      </c>
      <c r="B2" s="363" t="s">
        <v>1396</v>
      </c>
      <c r="C2" s="363" t="s">
        <v>1397</v>
      </c>
      <c r="D2" s="362" t="s">
        <v>1398</v>
      </c>
      <c r="E2" s="362" t="s">
        <v>1399</v>
      </c>
      <c r="F2" s="362" t="s">
        <v>1400</v>
      </c>
      <c r="G2" s="362">
        <v>9</v>
      </c>
      <c r="H2" s="364">
        <v>14500</v>
      </c>
      <c r="I2" s="364">
        <f t="shared" ref="I2:I17" si="0">G2*H2</f>
        <v>130500</v>
      </c>
      <c r="J2" s="363">
        <v>40</v>
      </c>
      <c r="K2" s="364">
        <f t="shared" ref="K2:K17" si="1">IF(ISNUMBER(I2),ROUND(I2-IF(ISNUMBER(J2),I2*J2/100,0),2),"--")</f>
        <v>78300</v>
      </c>
    </row>
    <row r="3" spans="1:11">
      <c r="A3" s="5"/>
      <c r="B3" s="365" t="s">
        <v>1401</v>
      </c>
      <c r="C3" s="365" t="s">
        <v>1402</v>
      </c>
      <c r="D3" s="366" t="s">
        <v>1403</v>
      </c>
      <c r="E3" s="366" t="s">
        <v>1398</v>
      </c>
      <c r="F3" s="366" t="s">
        <v>1400</v>
      </c>
      <c r="G3" s="366">
        <v>9</v>
      </c>
      <c r="H3" s="367">
        <v>870</v>
      </c>
      <c r="I3" s="367">
        <f t="shared" si="0"/>
        <v>7830</v>
      </c>
      <c r="J3" s="365">
        <v>40</v>
      </c>
      <c r="K3" s="367">
        <f t="shared" si="1"/>
        <v>4698</v>
      </c>
    </row>
    <row r="4" spans="1:11">
      <c r="A4" s="5"/>
      <c r="B4" s="365" t="s">
        <v>1404</v>
      </c>
      <c r="C4" s="365" t="s">
        <v>1405</v>
      </c>
      <c r="D4" s="366" t="s">
        <v>1398</v>
      </c>
      <c r="E4" s="366" t="s">
        <v>1406</v>
      </c>
      <c r="F4" s="366" t="s">
        <v>1400</v>
      </c>
      <c r="G4" s="366">
        <v>9</v>
      </c>
      <c r="H4" s="367">
        <v>0</v>
      </c>
      <c r="I4" s="367">
        <f t="shared" si="0"/>
        <v>0</v>
      </c>
      <c r="J4" s="365">
        <v>40</v>
      </c>
      <c r="K4" s="367">
        <f t="shared" si="1"/>
        <v>0</v>
      </c>
    </row>
    <row r="5" spans="1:11">
      <c r="A5" s="5"/>
      <c r="B5" s="365" t="s">
        <v>1407</v>
      </c>
      <c r="C5" s="365" t="s">
        <v>1408</v>
      </c>
      <c r="D5" s="366" t="s">
        <v>1398</v>
      </c>
      <c r="E5" s="366" t="s">
        <v>1409</v>
      </c>
      <c r="F5" s="366" t="s">
        <v>1410</v>
      </c>
      <c r="G5" s="366">
        <v>45</v>
      </c>
      <c r="H5" s="367">
        <v>0</v>
      </c>
      <c r="I5" s="367">
        <f t="shared" si="0"/>
        <v>0</v>
      </c>
      <c r="J5" s="365">
        <v>40</v>
      </c>
      <c r="K5" s="367">
        <f t="shared" si="1"/>
        <v>0</v>
      </c>
    </row>
    <row r="6" spans="1:11">
      <c r="A6" s="5"/>
      <c r="B6" s="365" t="s">
        <v>1411</v>
      </c>
      <c r="C6" s="365" t="s">
        <v>1412</v>
      </c>
      <c r="D6" s="366" t="s">
        <v>1403</v>
      </c>
      <c r="E6" s="366" t="s">
        <v>1398</v>
      </c>
      <c r="F6" s="366" t="s">
        <v>1400</v>
      </c>
      <c r="G6" s="366">
        <v>45</v>
      </c>
      <c r="H6" s="367">
        <v>26</v>
      </c>
      <c r="I6" s="367">
        <f t="shared" si="0"/>
        <v>1170</v>
      </c>
      <c r="J6" s="365">
        <v>40</v>
      </c>
      <c r="K6" s="367">
        <f t="shared" si="1"/>
        <v>702</v>
      </c>
    </row>
    <row r="7" spans="1:11">
      <c r="A7" s="5"/>
      <c r="B7" s="365" t="s">
        <v>1413</v>
      </c>
      <c r="C7" s="365" t="s">
        <v>1414</v>
      </c>
      <c r="D7" s="366" t="s">
        <v>1398</v>
      </c>
      <c r="E7" s="366" t="s">
        <v>1399</v>
      </c>
      <c r="F7" s="366" t="s">
        <v>1410</v>
      </c>
      <c r="G7" s="366">
        <v>9</v>
      </c>
      <c r="H7" s="367">
        <v>0</v>
      </c>
      <c r="I7" s="367">
        <f t="shared" si="0"/>
        <v>0</v>
      </c>
      <c r="J7" s="365">
        <v>40</v>
      </c>
      <c r="K7" s="367">
        <f t="shared" si="1"/>
        <v>0</v>
      </c>
    </row>
    <row r="8" spans="1:11">
      <c r="A8" s="5"/>
      <c r="B8" s="365" t="s">
        <v>1415</v>
      </c>
      <c r="C8" s="365" t="s">
        <v>1416</v>
      </c>
      <c r="D8" s="366" t="s">
        <v>1398</v>
      </c>
      <c r="E8" s="366" t="s">
        <v>1399</v>
      </c>
      <c r="F8" s="366" t="s">
        <v>1400</v>
      </c>
      <c r="G8" s="366">
        <v>9</v>
      </c>
      <c r="H8" s="367">
        <v>0</v>
      </c>
      <c r="I8" s="367">
        <f t="shared" si="0"/>
        <v>0</v>
      </c>
      <c r="J8" s="365">
        <v>40</v>
      </c>
      <c r="K8" s="367">
        <f t="shared" si="1"/>
        <v>0</v>
      </c>
    </row>
    <row r="9" spans="1:11">
      <c r="A9" s="5"/>
      <c r="B9" s="365" t="s">
        <v>1407</v>
      </c>
      <c r="C9" s="365" t="s">
        <v>1408</v>
      </c>
      <c r="D9" s="366" t="s">
        <v>1398</v>
      </c>
      <c r="E9" s="366" t="s">
        <v>1409</v>
      </c>
      <c r="F9" s="366" t="s">
        <v>1400</v>
      </c>
      <c r="G9" s="366">
        <v>0</v>
      </c>
      <c r="H9" s="367">
        <v>200</v>
      </c>
      <c r="I9" s="367">
        <f t="shared" si="0"/>
        <v>0</v>
      </c>
      <c r="J9" s="365">
        <v>40</v>
      </c>
      <c r="K9" s="367">
        <f t="shared" si="1"/>
        <v>0</v>
      </c>
    </row>
    <row r="10" spans="1:11">
      <c r="A10" s="5"/>
      <c r="B10" s="365" t="s">
        <v>1411</v>
      </c>
      <c r="C10" s="365" t="s">
        <v>1412</v>
      </c>
      <c r="D10" s="366" t="s">
        <v>1403</v>
      </c>
      <c r="E10" s="366" t="s">
        <v>1398</v>
      </c>
      <c r="F10" s="366" t="s">
        <v>1400</v>
      </c>
      <c r="G10" s="366">
        <v>0</v>
      </c>
      <c r="H10" s="367">
        <v>26</v>
      </c>
      <c r="I10" s="367">
        <f t="shared" si="0"/>
        <v>0</v>
      </c>
      <c r="J10" s="365">
        <v>40</v>
      </c>
      <c r="K10" s="367">
        <f t="shared" si="1"/>
        <v>0</v>
      </c>
    </row>
    <row r="11" spans="1:11">
      <c r="A11" s="5"/>
      <c r="B11" s="365" t="s">
        <v>1417</v>
      </c>
      <c r="C11" s="365" t="s">
        <v>1418</v>
      </c>
      <c r="D11" s="366" t="s">
        <v>1398</v>
      </c>
      <c r="E11" s="366" t="s">
        <v>1399</v>
      </c>
      <c r="F11" s="366" t="s">
        <v>1400</v>
      </c>
      <c r="G11" s="366">
        <v>9</v>
      </c>
      <c r="H11" s="367">
        <v>0</v>
      </c>
      <c r="I11" s="367">
        <f t="shared" si="0"/>
        <v>0</v>
      </c>
      <c r="J11" s="365">
        <v>40</v>
      </c>
      <c r="K11" s="367">
        <f t="shared" si="1"/>
        <v>0</v>
      </c>
    </row>
    <row r="12" spans="1:11">
      <c r="A12" s="5"/>
      <c r="B12" s="365" t="s">
        <v>1419</v>
      </c>
      <c r="C12" s="365" t="s">
        <v>1420</v>
      </c>
      <c r="D12" s="366" t="s">
        <v>1398</v>
      </c>
      <c r="E12" s="366" t="s">
        <v>1399</v>
      </c>
      <c r="F12" s="366" t="s">
        <v>1400</v>
      </c>
      <c r="G12" s="366">
        <v>9</v>
      </c>
      <c r="H12" s="367">
        <v>0</v>
      </c>
      <c r="I12" s="367">
        <f t="shared" si="0"/>
        <v>0</v>
      </c>
      <c r="J12" s="365">
        <v>40</v>
      </c>
      <c r="K12" s="367">
        <f t="shared" si="1"/>
        <v>0</v>
      </c>
    </row>
    <row r="13" spans="1:11">
      <c r="A13" s="7"/>
      <c r="B13" s="368" t="s">
        <v>64</v>
      </c>
      <c r="C13" s="368" t="s">
        <v>1421</v>
      </c>
      <c r="D13" s="369" t="s">
        <v>1398</v>
      </c>
      <c r="E13" s="369" t="s">
        <v>1399</v>
      </c>
      <c r="F13" s="369" t="s">
        <v>1400</v>
      </c>
      <c r="G13" s="369">
        <v>9</v>
      </c>
      <c r="H13" s="370">
        <v>2500</v>
      </c>
      <c r="I13" s="370">
        <f t="shared" si="0"/>
        <v>22500</v>
      </c>
      <c r="J13" s="368">
        <v>40</v>
      </c>
      <c r="K13" s="370">
        <f t="shared" si="1"/>
        <v>13500</v>
      </c>
    </row>
    <row r="14" spans="1:11" ht="17.25">
      <c r="A14" s="371">
        <v>1</v>
      </c>
      <c r="B14" s="372" t="s">
        <v>1422</v>
      </c>
      <c r="C14" s="372" t="s">
        <v>1423</v>
      </c>
      <c r="D14" s="371" t="s">
        <v>1398</v>
      </c>
      <c r="E14" s="371" t="s">
        <v>1399</v>
      </c>
      <c r="F14" s="371" t="s">
        <v>1400</v>
      </c>
      <c r="G14" s="371">
        <v>45</v>
      </c>
      <c r="H14" s="373">
        <v>1495</v>
      </c>
      <c r="I14" s="373">
        <f t="shared" si="0"/>
        <v>67275</v>
      </c>
      <c r="J14" s="372">
        <v>40</v>
      </c>
      <c r="K14" s="373">
        <f t="shared" si="1"/>
        <v>40365</v>
      </c>
    </row>
    <row r="15" spans="1:11">
      <c r="A15" s="10"/>
      <c r="B15" s="365" t="s">
        <v>1424</v>
      </c>
      <c r="C15" s="365" t="s">
        <v>1425</v>
      </c>
      <c r="D15" s="366" t="s">
        <v>1398</v>
      </c>
      <c r="E15" s="366" t="s">
        <v>1399</v>
      </c>
      <c r="F15" s="366" t="s">
        <v>1400</v>
      </c>
      <c r="G15" s="366">
        <v>45</v>
      </c>
      <c r="H15" s="367">
        <v>0</v>
      </c>
      <c r="I15" s="367">
        <f t="shared" si="0"/>
        <v>0</v>
      </c>
      <c r="J15" s="365">
        <v>40</v>
      </c>
      <c r="K15" s="367">
        <f t="shared" si="1"/>
        <v>0</v>
      </c>
    </row>
    <row r="16" spans="1:11">
      <c r="A16" s="10"/>
      <c r="B16" s="365" t="s">
        <v>1426</v>
      </c>
      <c r="C16" s="365" t="s">
        <v>1427</v>
      </c>
      <c r="D16" s="366" t="s">
        <v>1398</v>
      </c>
      <c r="E16" s="366" t="s">
        <v>1399</v>
      </c>
      <c r="F16" s="366" t="s">
        <v>1400</v>
      </c>
      <c r="G16" s="366">
        <v>45</v>
      </c>
      <c r="H16" s="367">
        <v>0</v>
      </c>
      <c r="I16" s="367">
        <f t="shared" si="0"/>
        <v>0</v>
      </c>
      <c r="J16" s="365">
        <v>40</v>
      </c>
      <c r="K16" s="367">
        <f t="shared" si="1"/>
        <v>0</v>
      </c>
    </row>
    <row r="17" spans="1:11">
      <c r="A17" s="11"/>
      <c r="B17" s="368" t="s">
        <v>1428</v>
      </c>
      <c r="C17" s="368" t="s">
        <v>1429</v>
      </c>
      <c r="D17" s="369" t="s">
        <v>1398</v>
      </c>
      <c r="E17" s="369" t="s">
        <v>1406</v>
      </c>
      <c r="F17" s="369" t="s">
        <v>1400</v>
      </c>
      <c r="G17" s="369">
        <v>45</v>
      </c>
      <c r="H17" s="370">
        <v>0</v>
      </c>
      <c r="I17" s="370">
        <f t="shared" si="0"/>
        <v>0</v>
      </c>
      <c r="J17" s="368">
        <v>40</v>
      </c>
      <c r="K17" s="370">
        <f t="shared" si="1"/>
        <v>0</v>
      </c>
    </row>
    <row r="18" spans="1:11">
      <c r="A18" s="374"/>
      <c r="B18" s="374"/>
      <c r="C18" s="374"/>
      <c r="D18" s="374"/>
      <c r="E18" s="374"/>
      <c r="F18" s="374"/>
      <c r="G18" s="374"/>
      <c r="H18" s="374"/>
      <c r="I18" s="374"/>
      <c r="J18" s="374"/>
      <c r="K18" s="374"/>
    </row>
    <row r="19" spans="1:11" ht="21">
      <c r="A19" s="374"/>
      <c r="B19" s="374"/>
      <c r="C19" s="375" t="s">
        <v>1430</v>
      </c>
      <c r="D19" s="376"/>
      <c r="E19" s="376"/>
      <c r="F19" s="376"/>
      <c r="G19" s="376"/>
      <c r="H19" s="377"/>
      <c r="I19" s="377"/>
      <c r="J19" s="375"/>
      <c r="K19" s="377">
        <f>SUM(K2:K18)</f>
        <v>137565</v>
      </c>
    </row>
    <row r="20" spans="1:11">
      <c r="A20" s="374"/>
      <c r="B20" s="374"/>
      <c r="C20" s="374"/>
      <c r="D20" s="374"/>
      <c r="E20" s="374"/>
      <c r="F20" s="374"/>
      <c r="G20" s="374"/>
      <c r="H20" s="374"/>
      <c r="I20" s="374"/>
      <c r="J20" s="374"/>
      <c r="K20" s="374"/>
    </row>
    <row r="21" spans="1:11" ht="17.25">
      <c r="A21" s="362">
        <v>2</v>
      </c>
      <c r="B21" s="363" t="s">
        <v>1396</v>
      </c>
      <c r="C21" s="363" t="s">
        <v>1397</v>
      </c>
      <c r="D21" s="362" t="s">
        <v>1398</v>
      </c>
      <c r="E21" s="362" t="s">
        <v>1399</v>
      </c>
      <c r="F21" s="362" t="s">
        <v>1400</v>
      </c>
      <c r="G21" s="362">
        <v>7</v>
      </c>
      <c r="H21" s="364">
        <v>14500</v>
      </c>
      <c r="I21" s="364">
        <f t="shared" ref="I21:I43" si="2">G21*H21</f>
        <v>101500</v>
      </c>
      <c r="J21" s="363">
        <v>40</v>
      </c>
      <c r="K21" s="364">
        <f t="shared" ref="K21:K43" si="3">IF(ISNUMBER(I21),ROUND(I21-IF(ISNUMBER(J21),I21*J21/100,0),2),"--")</f>
        <v>60900</v>
      </c>
    </row>
    <row r="22" spans="1:11">
      <c r="A22" s="5"/>
      <c r="B22" s="365" t="s">
        <v>1401</v>
      </c>
      <c r="C22" s="365" t="s">
        <v>1402</v>
      </c>
      <c r="D22" s="366" t="s">
        <v>1403</v>
      </c>
      <c r="E22" s="366" t="s">
        <v>1398</v>
      </c>
      <c r="F22" s="366" t="s">
        <v>1400</v>
      </c>
      <c r="G22" s="366">
        <v>7</v>
      </c>
      <c r="H22" s="367">
        <v>870</v>
      </c>
      <c r="I22" s="367">
        <f t="shared" si="2"/>
        <v>6090</v>
      </c>
      <c r="J22" s="365">
        <v>40</v>
      </c>
      <c r="K22" s="367">
        <f t="shared" si="3"/>
        <v>3654</v>
      </c>
    </row>
    <row r="23" spans="1:11">
      <c r="A23" s="5"/>
      <c r="B23" s="365" t="s">
        <v>1404</v>
      </c>
      <c r="C23" s="365" t="s">
        <v>1405</v>
      </c>
      <c r="D23" s="366" t="s">
        <v>1398</v>
      </c>
      <c r="E23" s="366" t="s">
        <v>1406</v>
      </c>
      <c r="F23" s="366" t="s">
        <v>1400</v>
      </c>
      <c r="G23" s="366">
        <v>7</v>
      </c>
      <c r="H23" s="367">
        <v>0</v>
      </c>
      <c r="I23" s="367">
        <f t="shared" si="2"/>
        <v>0</v>
      </c>
      <c r="J23" s="365">
        <v>40</v>
      </c>
      <c r="K23" s="367">
        <f t="shared" si="3"/>
        <v>0</v>
      </c>
    </row>
    <row r="24" spans="1:11">
      <c r="A24" s="5"/>
      <c r="B24" s="365" t="s">
        <v>1407</v>
      </c>
      <c r="C24" s="365" t="s">
        <v>1408</v>
      </c>
      <c r="D24" s="366" t="s">
        <v>1398</v>
      </c>
      <c r="E24" s="366" t="s">
        <v>1409</v>
      </c>
      <c r="F24" s="366" t="s">
        <v>1410</v>
      </c>
      <c r="G24" s="366">
        <v>35</v>
      </c>
      <c r="H24" s="367">
        <v>0</v>
      </c>
      <c r="I24" s="367">
        <f t="shared" si="2"/>
        <v>0</v>
      </c>
      <c r="J24" s="365">
        <v>40</v>
      </c>
      <c r="K24" s="367">
        <f t="shared" si="3"/>
        <v>0</v>
      </c>
    </row>
    <row r="25" spans="1:11">
      <c r="A25" s="5"/>
      <c r="B25" s="365" t="s">
        <v>1411</v>
      </c>
      <c r="C25" s="365" t="s">
        <v>1412</v>
      </c>
      <c r="D25" s="366" t="s">
        <v>1403</v>
      </c>
      <c r="E25" s="366" t="s">
        <v>1398</v>
      </c>
      <c r="F25" s="366" t="s">
        <v>1400</v>
      </c>
      <c r="G25" s="366">
        <v>35</v>
      </c>
      <c r="H25" s="367">
        <v>26</v>
      </c>
      <c r="I25" s="367">
        <f t="shared" si="2"/>
        <v>910</v>
      </c>
      <c r="J25" s="365">
        <v>40</v>
      </c>
      <c r="K25" s="367">
        <f t="shared" si="3"/>
        <v>546</v>
      </c>
    </row>
    <row r="26" spans="1:11">
      <c r="A26" s="5"/>
      <c r="B26" s="365" t="s">
        <v>1413</v>
      </c>
      <c r="C26" s="365" t="s">
        <v>1414</v>
      </c>
      <c r="D26" s="366" t="s">
        <v>1398</v>
      </c>
      <c r="E26" s="366" t="s">
        <v>1399</v>
      </c>
      <c r="F26" s="366" t="s">
        <v>1410</v>
      </c>
      <c r="G26" s="366">
        <v>7</v>
      </c>
      <c r="H26" s="367">
        <v>0</v>
      </c>
      <c r="I26" s="367">
        <f t="shared" si="2"/>
        <v>0</v>
      </c>
      <c r="J26" s="365">
        <v>40</v>
      </c>
      <c r="K26" s="367">
        <f t="shared" si="3"/>
        <v>0</v>
      </c>
    </row>
    <row r="27" spans="1:11">
      <c r="A27" s="5"/>
      <c r="B27" s="365" t="s">
        <v>1415</v>
      </c>
      <c r="C27" s="365" t="s">
        <v>1416</v>
      </c>
      <c r="D27" s="366" t="s">
        <v>1398</v>
      </c>
      <c r="E27" s="366" t="s">
        <v>1399</v>
      </c>
      <c r="F27" s="366" t="s">
        <v>1400</v>
      </c>
      <c r="G27" s="366">
        <v>7</v>
      </c>
      <c r="H27" s="367">
        <v>0</v>
      </c>
      <c r="I27" s="367">
        <f t="shared" si="2"/>
        <v>0</v>
      </c>
      <c r="J27" s="365">
        <v>40</v>
      </c>
      <c r="K27" s="367">
        <f t="shared" si="3"/>
        <v>0</v>
      </c>
    </row>
    <row r="28" spans="1:11">
      <c r="A28" s="5"/>
      <c r="B28" s="365" t="s">
        <v>1407</v>
      </c>
      <c r="C28" s="365" t="s">
        <v>1408</v>
      </c>
      <c r="D28" s="366" t="s">
        <v>1398</v>
      </c>
      <c r="E28" s="366" t="s">
        <v>1409</v>
      </c>
      <c r="F28" s="366" t="s">
        <v>1400</v>
      </c>
      <c r="G28" s="366">
        <v>0</v>
      </c>
      <c r="H28" s="367">
        <v>200</v>
      </c>
      <c r="I28" s="367">
        <f t="shared" si="2"/>
        <v>0</v>
      </c>
      <c r="J28" s="365">
        <v>40</v>
      </c>
      <c r="K28" s="367">
        <f t="shared" si="3"/>
        <v>0</v>
      </c>
    </row>
    <row r="29" spans="1:11">
      <c r="A29" s="5"/>
      <c r="B29" s="365" t="s">
        <v>1411</v>
      </c>
      <c r="C29" s="365" t="s">
        <v>1412</v>
      </c>
      <c r="D29" s="366" t="s">
        <v>1403</v>
      </c>
      <c r="E29" s="366" t="s">
        <v>1398</v>
      </c>
      <c r="F29" s="366" t="s">
        <v>1400</v>
      </c>
      <c r="G29" s="366">
        <v>0</v>
      </c>
      <c r="H29" s="367">
        <v>26</v>
      </c>
      <c r="I29" s="367">
        <f t="shared" si="2"/>
        <v>0</v>
      </c>
      <c r="J29" s="365">
        <v>40</v>
      </c>
      <c r="K29" s="367">
        <f t="shared" si="3"/>
        <v>0</v>
      </c>
    </row>
    <row r="30" spans="1:11">
      <c r="A30" s="5"/>
      <c r="B30" s="365" t="s">
        <v>1417</v>
      </c>
      <c r="C30" s="365" t="s">
        <v>1418</v>
      </c>
      <c r="D30" s="366" t="s">
        <v>1398</v>
      </c>
      <c r="E30" s="366" t="s">
        <v>1399</v>
      </c>
      <c r="F30" s="366" t="s">
        <v>1400</v>
      </c>
      <c r="G30" s="366">
        <v>7</v>
      </c>
      <c r="H30" s="367">
        <v>0</v>
      </c>
      <c r="I30" s="367">
        <f t="shared" si="2"/>
        <v>0</v>
      </c>
      <c r="J30" s="365">
        <v>40</v>
      </c>
      <c r="K30" s="367">
        <f t="shared" si="3"/>
        <v>0</v>
      </c>
    </row>
    <row r="31" spans="1:11">
      <c r="A31" s="5"/>
      <c r="B31" s="365" t="s">
        <v>1419</v>
      </c>
      <c r="C31" s="365" t="s">
        <v>1420</v>
      </c>
      <c r="D31" s="366" t="s">
        <v>1398</v>
      </c>
      <c r="E31" s="366" t="s">
        <v>1399</v>
      </c>
      <c r="F31" s="366" t="s">
        <v>1400</v>
      </c>
      <c r="G31" s="366">
        <v>7</v>
      </c>
      <c r="H31" s="367">
        <v>0</v>
      </c>
      <c r="I31" s="367">
        <f t="shared" si="2"/>
        <v>0</v>
      </c>
      <c r="J31" s="365">
        <v>40</v>
      </c>
      <c r="K31" s="367">
        <f t="shared" si="3"/>
        <v>0</v>
      </c>
    </row>
    <row r="32" spans="1:11">
      <c r="A32" s="7"/>
      <c r="B32" s="368" t="s">
        <v>64</v>
      </c>
      <c r="C32" s="368" t="s">
        <v>1421</v>
      </c>
      <c r="D32" s="369" t="s">
        <v>1398</v>
      </c>
      <c r="E32" s="369" t="s">
        <v>1399</v>
      </c>
      <c r="F32" s="369" t="s">
        <v>1400</v>
      </c>
      <c r="G32" s="369">
        <v>7</v>
      </c>
      <c r="H32" s="370">
        <v>2500</v>
      </c>
      <c r="I32" s="370">
        <f t="shared" si="2"/>
        <v>17500</v>
      </c>
      <c r="J32" s="368">
        <v>40</v>
      </c>
      <c r="K32" s="370">
        <f t="shared" si="3"/>
        <v>10500</v>
      </c>
    </row>
    <row r="33" spans="1:11" ht="17.25">
      <c r="A33" s="371">
        <v>2</v>
      </c>
      <c r="B33" s="372" t="s">
        <v>64</v>
      </c>
      <c r="C33" s="372" t="s">
        <v>1431</v>
      </c>
      <c r="D33" s="371" t="s">
        <v>1398</v>
      </c>
      <c r="E33" s="371" t="s">
        <v>1399</v>
      </c>
      <c r="F33" s="371" t="s">
        <v>1400</v>
      </c>
      <c r="G33" s="371">
        <v>5</v>
      </c>
      <c r="H33" s="373">
        <v>14000</v>
      </c>
      <c r="I33" s="373">
        <f t="shared" si="2"/>
        <v>70000</v>
      </c>
      <c r="J33" s="372">
        <v>40</v>
      </c>
      <c r="K33" s="373">
        <f t="shared" si="3"/>
        <v>42000</v>
      </c>
    </row>
    <row r="34" spans="1:11">
      <c r="A34" s="10"/>
      <c r="B34" s="365" t="s">
        <v>1401</v>
      </c>
      <c r="C34" s="365" t="s">
        <v>1402</v>
      </c>
      <c r="D34" s="366" t="s">
        <v>1403</v>
      </c>
      <c r="E34" s="366" t="s">
        <v>1398</v>
      </c>
      <c r="F34" s="366" t="s">
        <v>1400</v>
      </c>
      <c r="G34" s="366">
        <v>5</v>
      </c>
      <c r="H34" s="367">
        <v>870</v>
      </c>
      <c r="I34" s="367">
        <f t="shared" si="2"/>
        <v>4350</v>
      </c>
      <c r="J34" s="365">
        <v>40</v>
      </c>
      <c r="K34" s="367">
        <f t="shared" si="3"/>
        <v>2610</v>
      </c>
    </row>
    <row r="35" spans="1:11">
      <c r="A35" s="10"/>
      <c r="B35" s="365" t="s">
        <v>1404</v>
      </c>
      <c r="C35" s="365" t="s">
        <v>1405</v>
      </c>
      <c r="D35" s="366" t="s">
        <v>1398</v>
      </c>
      <c r="E35" s="366" t="s">
        <v>1406</v>
      </c>
      <c r="F35" s="366" t="s">
        <v>1400</v>
      </c>
      <c r="G35" s="366">
        <v>5</v>
      </c>
      <c r="H35" s="367">
        <v>0</v>
      </c>
      <c r="I35" s="367">
        <f t="shared" si="2"/>
        <v>0</v>
      </c>
      <c r="J35" s="365">
        <v>40</v>
      </c>
      <c r="K35" s="367">
        <f t="shared" si="3"/>
        <v>0</v>
      </c>
    </row>
    <row r="36" spans="1:11">
      <c r="A36" s="10"/>
      <c r="B36" s="365" t="s">
        <v>1413</v>
      </c>
      <c r="C36" s="365" t="s">
        <v>1414</v>
      </c>
      <c r="D36" s="366" t="s">
        <v>1398</v>
      </c>
      <c r="E36" s="366" t="s">
        <v>1399</v>
      </c>
      <c r="F36" s="366" t="s">
        <v>1410</v>
      </c>
      <c r="G36" s="366">
        <v>5</v>
      </c>
      <c r="H36" s="367">
        <v>0</v>
      </c>
      <c r="I36" s="367">
        <f t="shared" si="2"/>
        <v>0</v>
      </c>
      <c r="J36" s="365">
        <v>40</v>
      </c>
      <c r="K36" s="367">
        <f t="shared" si="3"/>
        <v>0</v>
      </c>
    </row>
    <row r="37" spans="1:11">
      <c r="A37" s="10"/>
      <c r="B37" s="365" t="s">
        <v>1415</v>
      </c>
      <c r="C37" s="365" t="s">
        <v>1416</v>
      </c>
      <c r="D37" s="366" t="s">
        <v>1398</v>
      </c>
      <c r="E37" s="366" t="s">
        <v>1399</v>
      </c>
      <c r="F37" s="366" t="s">
        <v>1400</v>
      </c>
      <c r="G37" s="366">
        <v>5</v>
      </c>
      <c r="H37" s="367">
        <v>0</v>
      </c>
      <c r="I37" s="367">
        <f t="shared" si="2"/>
        <v>0</v>
      </c>
      <c r="J37" s="365">
        <v>40</v>
      </c>
      <c r="K37" s="367">
        <f t="shared" si="3"/>
        <v>0</v>
      </c>
    </row>
    <row r="38" spans="1:11">
      <c r="A38" s="10"/>
      <c r="B38" s="365" t="s">
        <v>1417</v>
      </c>
      <c r="C38" s="365" t="s">
        <v>1418</v>
      </c>
      <c r="D38" s="366" t="s">
        <v>1398</v>
      </c>
      <c r="E38" s="366" t="s">
        <v>1399</v>
      </c>
      <c r="F38" s="366" t="s">
        <v>1400</v>
      </c>
      <c r="G38" s="366">
        <v>5</v>
      </c>
      <c r="H38" s="367">
        <v>0</v>
      </c>
      <c r="I38" s="367">
        <f t="shared" si="2"/>
        <v>0</v>
      </c>
      <c r="J38" s="365">
        <v>40</v>
      </c>
      <c r="K38" s="367">
        <f t="shared" si="3"/>
        <v>0</v>
      </c>
    </row>
    <row r="39" spans="1:11">
      <c r="A39" s="11"/>
      <c r="B39" s="368" t="s">
        <v>1419</v>
      </c>
      <c r="C39" s="368" t="s">
        <v>1420</v>
      </c>
      <c r="D39" s="369" t="s">
        <v>1398</v>
      </c>
      <c r="E39" s="369" t="s">
        <v>1399</v>
      </c>
      <c r="F39" s="369" t="s">
        <v>1400</v>
      </c>
      <c r="G39" s="369">
        <v>5</v>
      </c>
      <c r="H39" s="370">
        <v>0</v>
      </c>
      <c r="I39" s="370">
        <f t="shared" si="2"/>
        <v>0</v>
      </c>
      <c r="J39" s="368">
        <v>40</v>
      </c>
      <c r="K39" s="370">
        <f t="shared" si="3"/>
        <v>0</v>
      </c>
    </row>
    <row r="40" spans="1:11" ht="17.25">
      <c r="A40" s="371">
        <v>2</v>
      </c>
      <c r="B40" s="372" t="s">
        <v>1422</v>
      </c>
      <c r="C40" s="372" t="s">
        <v>1423</v>
      </c>
      <c r="D40" s="371" t="s">
        <v>1398</v>
      </c>
      <c r="E40" s="371" t="s">
        <v>1399</v>
      </c>
      <c r="F40" s="371" t="s">
        <v>1400</v>
      </c>
      <c r="G40" s="371">
        <v>35</v>
      </c>
      <c r="H40" s="373">
        <v>1495</v>
      </c>
      <c r="I40" s="373">
        <f t="shared" si="2"/>
        <v>52325</v>
      </c>
      <c r="J40" s="372">
        <v>40</v>
      </c>
      <c r="K40" s="373">
        <f t="shared" si="3"/>
        <v>31395</v>
      </c>
    </row>
    <row r="41" spans="1:11">
      <c r="A41" s="10"/>
      <c r="B41" s="365" t="s">
        <v>1424</v>
      </c>
      <c r="C41" s="365" t="s">
        <v>1425</v>
      </c>
      <c r="D41" s="366" t="s">
        <v>1398</v>
      </c>
      <c r="E41" s="366" t="s">
        <v>1399</v>
      </c>
      <c r="F41" s="366" t="s">
        <v>1400</v>
      </c>
      <c r="G41" s="366">
        <v>35</v>
      </c>
      <c r="H41" s="367">
        <v>0</v>
      </c>
      <c r="I41" s="367">
        <f t="shared" si="2"/>
        <v>0</v>
      </c>
      <c r="J41" s="365">
        <v>40</v>
      </c>
      <c r="K41" s="367">
        <f t="shared" si="3"/>
        <v>0</v>
      </c>
    </row>
    <row r="42" spans="1:11">
      <c r="A42" s="10"/>
      <c r="B42" s="365" t="s">
        <v>1426</v>
      </c>
      <c r="C42" s="365" t="s">
        <v>1427</v>
      </c>
      <c r="D42" s="366" t="s">
        <v>1398</v>
      </c>
      <c r="E42" s="366" t="s">
        <v>1399</v>
      </c>
      <c r="F42" s="366" t="s">
        <v>1400</v>
      </c>
      <c r="G42" s="366">
        <v>35</v>
      </c>
      <c r="H42" s="367">
        <v>0</v>
      </c>
      <c r="I42" s="367">
        <f t="shared" si="2"/>
        <v>0</v>
      </c>
      <c r="J42" s="365">
        <v>40</v>
      </c>
      <c r="K42" s="367">
        <f t="shared" si="3"/>
        <v>0</v>
      </c>
    </row>
    <row r="43" spans="1:11">
      <c r="A43" s="11"/>
      <c r="B43" s="368" t="s">
        <v>1428</v>
      </c>
      <c r="C43" s="368" t="s">
        <v>1429</v>
      </c>
      <c r="D43" s="369" t="s">
        <v>1398</v>
      </c>
      <c r="E43" s="369" t="s">
        <v>1406</v>
      </c>
      <c r="F43" s="369" t="s">
        <v>1400</v>
      </c>
      <c r="G43" s="369">
        <v>35</v>
      </c>
      <c r="H43" s="370">
        <v>0</v>
      </c>
      <c r="I43" s="370">
        <f t="shared" si="2"/>
        <v>0</v>
      </c>
      <c r="J43" s="368">
        <v>40</v>
      </c>
      <c r="K43" s="370">
        <f t="shared" si="3"/>
        <v>0</v>
      </c>
    </row>
    <row r="44" spans="1:11">
      <c r="A44" s="374"/>
      <c r="B44" s="374"/>
      <c r="C44" s="374"/>
      <c r="D44" s="374"/>
      <c r="E44" s="374"/>
      <c r="F44" s="374"/>
      <c r="G44" s="374"/>
      <c r="H44" s="374"/>
      <c r="I44" s="374"/>
      <c r="J44" s="374"/>
      <c r="K44" s="374"/>
    </row>
    <row r="45" spans="1:11" ht="21">
      <c r="A45" s="374"/>
      <c r="B45" s="374"/>
      <c r="C45" s="375" t="s">
        <v>1432</v>
      </c>
      <c r="D45" s="376"/>
      <c r="E45" s="376"/>
      <c r="F45" s="376"/>
      <c r="G45" s="376"/>
      <c r="H45" s="377"/>
      <c r="I45" s="377"/>
      <c r="J45" s="375"/>
      <c r="K45" s="377">
        <f>SUM(K21:K44)</f>
        <v>151605</v>
      </c>
    </row>
    <row r="46" spans="1:11">
      <c r="A46" s="374"/>
      <c r="B46" s="374"/>
      <c r="C46" s="374"/>
      <c r="D46" s="374"/>
      <c r="E46" s="374"/>
      <c r="F46" s="374"/>
      <c r="G46" s="374"/>
      <c r="H46" s="374"/>
      <c r="I46" s="374"/>
      <c r="J46" s="374"/>
      <c r="K46" s="374"/>
    </row>
    <row r="47" spans="1:11" ht="30" thickBot="1">
      <c r="A47" s="374"/>
      <c r="B47" s="374"/>
      <c r="C47" s="374"/>
      <c r="D47" s="378" t="s">
        <v>1433</v>
      </c>
      <c r="E47" s="378"/>
      <c r="F47" s="378"/>
      <c r="G47" s="378"/>
      <c r="H47" s="378"/>
      <c r="I47" s="378"/>
      <c r="J47" s="378"/>
      <c r="K47" s="379">
        <f>K19+K45</f>
        <v>289170</v>
      </c>
    </row>
    <row r="48" spans="1:11" ht="17.25" thickTop="1"/>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H121"/>
  <sheetViews>
    <sheetView topLeftCell="A76" workbookViewId="0">
      <selection activeCell="D17" sqref="D17"/>
    </sheetView>
  </sheetViews>
  <sheetFormatPr defaultColWidth="10.875" defaultRowHeight="12"/>
  <cols>
    <col min="1" max="1" width="54.125" style="255" customWidth="1"/>
    <col min="2" max="2" width="15.875" style="255" customWidth="1"/>
    <col min="3" max="3" width="12.125" style="255" customWidth="1"/>
    <col min="4" max="4" width="21" style="255" customWidth="1"/>
    <col min="5" max="7" width="12.125" style="255" customWidth="1"/>
    <col min="8" max="8" width="12.875" style="255" customWidth="1"/>
    <col min="9" max="9" width="12.875" style="255" hidden="1" customWidth="1"/>
    <col min="10" max="17" width="12.125" style="255" hidden="1" customWidth="1"/>
    <col min="18" max="21" width="14.375" style="255" customWidth="1"/>
    <col min="22" max="22" width="17" style="255" customWidth="1"/>
    <col min="23" max="23" width="13" style="255" customWidth="1"/>
    <col min="24" max="26" width="10.875" style="255"/>
    <col min="27" max="27" width="13" style="255" customWidth="1"/>
    <col min="28" max="16384" width="10.875" style="255"/>
  </cols>
  <sheetData>
    <row r="1" spans="1:268" s="151" customFormat="1" ht="15.75">
      <c r="A1" s="150" t="s">
        <v>846</v>
      </c>
      <c r="D1" s="152"/>
      <c r="E1" s="153"/>
      <c r="F1" s="153"/>
      <c r="G1" s="154"/>
      <c r="H1" s="154"/>
      <c r="I1" s="154"/>
      <c r="J1" s="153"/>
      <c r="K1" s="153"/>
      <c r="L1" s="153"/>
      <c r="M1" s="153"/>
      <c r="N1" s="153"/>
      <c r="O1" s="153"/>
      <c r="P1" s="153"/>
      <c r="Q1" s="154"/>
      <c r="R1" s="154"/>
      <c r="S1" s="154"/>
      <c r="T1" s="153"/>
      <c r="U1" s="153"/>
      <c r="W1" s="155"/>
      <c r="X1" s="155"/>
      <c r="Y1" s="154"/>
      <c r="Z1" s="154"/>
    </row>
    <row r="2" spans="1:268" s="160" customFormat="1" ht="15.75">
      <c r="A2" s="156" t="s">
        <v>1438</v>
      </c>
      <c r="B2" s="157"/>
      <c r="C2" s="158"/>
      <c r="D2" s="158"/>
      <c r="E2" s="158"/>
      <c r="F2" s="158"/>
      <c r="G2" s="158"/>
      <c r="H2" s="159"/>
      <c r="I2" s="159"/>
      <c r="J2" s="158"/>
      <c r="K2" s="158"/>
      <c r="L2" s="158"/>
      <c r="M2" s="158"/>
      <c r="N2" s="158"/>
      <c r="O2" s="158"/>
      <c r="P2" s="158"/>
      <c r="Q2" s="158"/>
      <c r="R2" s="158"/>
      <c r="S2" s="158"/>
      <c r="T2" s="158"/>
      <c r="U2" s="158"/>
      <c r="W2" s="154"/>
      <c r="X2" s="155"/>
      <c r="Y2" s="155"/>
      <c r="Z2" s="155"/>
    </row>
    <row r="3" spans="1:268" s="160" customFormat="1" ht="15.75">
      <c r="A3" s="156"/>
      <c r="B3" s="157"/>
      <c r="C3" s="158"/>
      <c r="D3" s="158"/>
      <c r="E3" s="158"/>
      <c r="F3" s="158"/>
      <c r="G3" s="158"/>
      <c r="H3" s="159"/>
      <c r="I3" s="159"/>
      <c r="J3" s="158"/>
      <c r="K3" s="158"/>
      <c r="L3" s="158"/>
      <c r="M3" s="158"/>
      <c r="N3" s="158"/>
      <c r="O3" s="158"/>
      <c r="P3" s="158"/>
      <c r="Q3" s="158"/>
      <c r="R3" s="158"/>
      <c r="S3" s="158"/>
      <c r="T3" s="158"/>
      <c r="U3" s="158"/>
      <c r="W3" s="154"/>
      <c r="X3" s="155"/>
      <c r="Y3" s="155"/>
      <c r="Z3" s="155"/>
    </row>
    <row r="4" spans="1:268" s="160" customFormat="1" ht="12" customHeight="1">
      <c r="A4" s="161" t="s">
        <v>847</v>
      </c>
      <c r="B4" s="158"/>
      <c r="C4" s="397" t="s">
        <v>848</v>
      </c>
      <c r="D4" s="398"/>
      <c r="E4" s="398"/>
      <c r="F4" s="398"/>
      <c r="G4" s="381"/>
      <c r="H4" s="162" t="s">
        <v>849</v>
      </c>
      <c r="I4" s="399" t="s">
        <v>850</v>
      </c>
      <c r="J4" s="400"/>
      <c r="K4" s="400"/>
      <c r="L4" s="400"/>
      <c r="M4" s="400"/>
      <c r="N4" s="400"/>
      <c r="O4" s="400"/>
      <c r="P4" s="400"/>
      <c r="Q4" s="401"/>
      <c r="R4" s="163"/>
      <c r="S4" s="163"/>
      <c r="T4" s="163"/>
      <c r="U4" s="163"/>
      <c r="V4" s="164"/>
    </row>
    <row r="5" spans="1:268" s="160" customFormat="1">
      <c r="A5" s="165" t="s">
        <v>851</v>
      </c>
      <c r="B5" s="166" t="s">
        <v>852</v>
      </c>
      <c r="C5" s="167" t="s">
        <v>853</v>
      </c>
      <c r="D5" s="168" t="s">
        <v>854</v>
      </c>
      <c r="E5" s="168" t="s">
        <v>855</v>
      </c>
      <c r="F5" s="168" t="s">
        <v>856</v>
      </c>
      <c r="G5" s="169" t="s">
        <v>857</v>
      </c>
      <c r="H5" s="162" t="s">
        <v>858</v>
      </c>
      <c r="I5" s="170" t="s">
        <v>859</v>
      </c>
      <c r="J5" s="171" t="s">
        <v>860</v>
      </c>
      <c r="K5" s="171" t="s">
        <v>861</v>
      </c>
      <c r="L5" s="171" t="s">
        <v>862</v>
      </c>
      <c r="M5" s="171" t="s">
        <v>863</v>
      </c>
      <c r="N5" s="171" t="s">
        <v>864</v>
      </c>
      <c r="O5" s="171" t="s">
        <v>865</v>
      </c>
      <c r="P5" s="171" t="s">
        <v>866</v>
      </c>
      <c r="Q5" s="172" t="s">
        <v>857</v>
      </c>
      <c r="R5" s="159" t="s">
        <v>169</v>
      </c>
      <c r="S5" s="163"/>
      <c r="T5" s="163"/>
      <c r="U5" s="163"/>
      <c r="V5" s="164"/>
    </row>
    <row r="6" spans="1:268" s="160" customFormat="1">
      <c r="A6" s="173"/>
      <c r="B6" s="166"/>
      <c r="C6" s="174"/>
      <c r="D6" s="175"/>
      <c r="E6" s="175"/>
      <c r="F6" s="175"/>
      <c r="G6" s="176"/>
      <c r="H6" s="159"/>
      <c r="I6" s="177"/>
      <c r="J6" s="175"/>
      <c r="K6" s="175"/>
      <c r="L6" s="175"/>
      <c r="M6" s="175"/>
      <c r="N6" s="175"/>
      <c r="O6" s="175"/>
      <c r="P6" s="175"/>
      <c r="Q6" s="176"/>
      <c r="R6" s="159"/>
      <c r="S6" s="163"/>
      <c r="T6" s="163"/>
      <c r="U6" s="163"/>
      <c r="V6" s="164"/>
    </row>
    <row r="7" spans="1:268" s="160" customFormat="1">
      <c r="A7" s="178" t="s">
        <v>867</v>
      </c>
      <c r="B7" s="96"/>
      <c r="C7" s="179"/>
      <c r="D7" s="180"/>
      <c r="E7" s="180"/>
      <c r="F7" s="180"/>
      <c r="G7" s="181"/>
      <c r="H7" s="96"/>
      <c r="I7" s="179"/>
      <c r="J7" s="96"/>
      <c r="K7" s="96"/>
      <c r="L7" s="96"/>
      <c r="M7" s="96"/>
      <c r="N7" s="96"/>
      <c r="O7" s="96"/>
      <c r="P7" s="96"/>
      <c r="Q7" s="181"/>
      <c r="R7" s="163"/>
      <c r="S7" s="163"/>
      <c r="T7" s="163"/>
      <c r="U7" s="163"/>
      <c r="V7" s="164"/>
    </row>
    <row r="8" spans="1:268" s="182" customFormat="1">
      <c r="A8" s="182" t="s">
        <v>868</v>
      </c>
      <c r="B8" s="183"/>
      <c r="C8" s="184"/>
      <c r="D8" s="185"/>
      <c r="E8" s="186"/>
      <c r="F8" s="186"/>
      <c r="G8" s="187"/>
      <c r="H8" s="188"/>
      <c r="I8" s="189"/>
      <c r="J8" s="188"/>
      <c r="K8" s="188"/>
      <c r="L8" s="188"/>
      <c r="M8" s="188"/>
      <c r="N8" s="188"/>
      <c r="O8" s="188"/>
      <c r="P8" s="188"/>
      <c r="Q8" s="187"/>
      <c r="R8" s="188"/>
      <c r="S8" s="188"/>
      <c r="T8" s="188"/>
      <c r="U8" s="188"/>
      <c r="V8" s="190"/>
    </row>
    <row r="9" spans="1:268" s="182" customFormat="1">
      <c r="A9" s="191" t="s">
        <v>869</v>
      </c>
      <c r="B9" s="192" t="s">
        <v>870</v>
      </c>
      <c r="C9" s="193">
        <v>4906.26</v>
      </c>
      <c r="D9" s="194">
        <v>853.13</v>
      </c>
      <c r="E9" s="194">
        <v>853.13</v>
      </c>
      <c r="F9" s="194">
        <f>5233.66+853.13</f>
        <v>6086.79</v>
      </c>
      <c r="G9" s="195">
        <f t="shared" ref="G9:G16" si="0">SUM(C9:F9)</f>
        <v>12699.310000000001</v>
      </c>
      <c r="H9" s="196"/>
      <c r="I9" s="197">
        <v>853.13</v>
      </c>
      <c r="J9" s="198">
        <v>4042.74</v>
      </c>
      <c r="K9" s="199"/>
      <c r="L9" s="199"/>
      <c r="M9" s="199"/>
      <c r="N9" s="199"/>
      <c r="O9" s="199"/>
      <c r="P9" s="199"/>
      <c r="Q9" s="195"/>
      <c r="R9" s="200"/>
      <c r="S9" s="200"/>
      <c r="V9" s="190"/>
    </row>
    <row r="10" spans="1:268" s="182" customFormat="1">
      <c r="A10" s="191" t="s">
        <v>871</v>
      </c>
      <c r="B10" s="192"/>
      <c r="C10" s="193">
        <v>0</v>
      </c>
      <c r="D10" s="194">
        <v>752.95</v>
      </c>
      <c r="E10" s="194">
        <v>1945.13</v>
      </c>
      <c r="F10" s="194">
        <v>447.89</v>
      </c>
      <c r="G10" s="195">
        <f t="shared" si="0"/>
        <v>3145.97</v>
      </c>
      <c r="H10" s="196"/>
      <c r="I10" s="197"/>
      <c r="J10" s="198"/>
      <c r="K10" s="199"/>
      <c r="L10" s="199"/>
      <c r="M10" s="199"/>
      <c r="N10" s="199"/>
      <c r="O10" s="199"/>
      <c r="P10" s="199"/>
      <c r="Q10" s="195"/>
      <c r="R10" s="200"/>
      <c r="S10" s="200"/>
      <c r="V10" s="190"/>
    </row>
    <row r="11" spans="1:268" s="182" customFormat="1">
      <c r="A11" s="191" t="s">
        <v>872</v>
      </c>
      <c r="B11" s="192"/>
      <c r="C11" s="193">
        <v>150</v>
      </c>
      <c r="D11" s="194">
        <v>150</v>
      </c>
      <c r="E11" s="194">
        <v>150</v>
      </c>
      <c r="F11" s="194">
        <v>1200</v>
      </c>
      <c r="G11" s="195">
        <f t="shared" si="0"/>
        <v>1650</v>
      </c>
      <c r="H11" s="196"/>
      <c r="I11" s="197"/>
      <c r="J11" s="198"/>
      <c r="K11" s="199"/>
      <c r="L11" s="199"/>
      <c r="M11" s="199"/>
      <c r="N11" s="199"/>
      <c r="O11" s="199"/>
      <c r="P11" s="199"/>
      <c r="Q11" s="195"/>
      <c r="R11" s="200"/>
      <c r="S11" s="200"/>
      <c r="U11" s="182">
        <f>D22*1.04</f>
        <v>975.06240000000025</v>
      </c>
      <c r="V11" s="190"/>
    </row>
    <row r="12" spans="1:268" s="182" customFormat="1">
      <c r="A12" s="191" t="s">
        <v>873</v>
      </c>
      <c r="C12" s="193">
        <v>762.5</v>
      </c>
      <c r="D12" s="194">
        <v>762.5</v>
      </c>
      <c r="E12" s="194">
        <v>762.5</v>
      </c>
      <c r="F12" s="194">
        <v>762.5</v>
      </c>
      <c r="G12" s="195">
        <f t="shared" si="0"/>
        <v>3050</v>
      </c>
      <c r="H12" s="196"/>
      <c r="I12" s="193">
        <v>912.5</v>
      </c>
      <c r="J12" s="199">
        <f>1347.89</f>
        <v>1347.89</v>
      </c>
      <c r="K12" s="199"/>
      <c r="L12" s="199"/>
      <c r="M12" s="199"/>
      <c r="N12" s="199"/>
      <c r="O12" s="199"/>
      <c r="P12" s="199"/>
      <c r="Q12" s="195"/>
      <c r="R12" s="200"/>
      <c r="S12" s="200"/>
      <c r="U12" s="182">
        <f>E22*1.04</f>
        <v>661.65840000000003</v>
      </c>
      <c r="V12" s="190"/>
    </row>
    <row r="13" spans="1:268" s="182" customFormat="1">
      <c r="A13" s="201" t="s">
        <v>874</v>
      </c>
      <c r="C13" s="184">
        <f>SUM(C9:C12)</f>
        <v>5818.76</v>
      </c>
      <c r="D13" s="202">
        <f>SUM(D9:D12)</f>
        <v>2518.58</v>
      </c>
      <c r="E13" s="202">
        <f>SUM(E9:E12)</f>
        <v>3710.76</v>
      </c>
      <c r="F13" s="202">
        <f>SUM(F9:F12)</f>
        <v>8497.18</v>
      </c>
      <c r="G13" s="195">
        <f t="shared" si="0"/>
        <v>20545.28</v>
      </c>
      <c r="H13" s="200"/>
      <c r="I13" s="184"/>
      <c r="J13" s="200"/>
      <c r="K13" s="200"/>
      <c r="L13" s="200"/>
      <c r="M13" s="200"/>
      <c r="N13" s="200"/>
      <c r="O13" s="200"/>
      <c r="P13" s="200"/>
      <c r="Q13" s="195"/>
      <c r="R13" s="200"/>
      <c r="S13" s="200"/>
      <c r="V13" s="190"/>
    </row>
    <row r="14" spans="1:268" s="182" customFormat="1">
      <c r="A14" s="191" t="s">
        <v>875</v>
      </c>
      <c r="C14" s="203" t="s">
        <v>876</v>
      </c>
      <c r="D14" s="202">
        <f>(D9+D12)*0.04</f>
        <v>64.625200000000007</v>
      </c>
      <c r="E14" s="202">
        <f>(E9+E12)*0.04</f>
        <v>64.625200000000007</v>
      </c>
      <c r="F14" s="202">
        <f>F13*0.04</f>
        <v>339.88720000000001</v>
      </c>
      <c r="G14" s="195">
        <f t="shared" si="0"/>
        <v>469.13760000000002</v>
      </c>
      <c r="H14" s="200"/>
      <c r="I14" s="184"/>
      <c r="J14" s="200"/>
      <c r="K14" s="200"/>
      <c r="L14" s="200"/>
      <c r="M14" s="200"/>
      <c r="N14" s="200"/>
      <c r="O14" s="200"/>
      <c r="P14" s="200"/>
      <c r="Q14" s="195"/>
      <c r="R14" s="200"/>
      <c r="S14" s="200"/>
      <c r="V14" s="190"/>
    </row>
    <row r="15" spans="1:268" s="182" customFormat="1" ht="12.75" thickBot="1">
      <c r="A15" s="204" t="s">
        <v>877</v>
      </c>
      <c r="B15" s="185"/>
      <c r="C15" s="382">
        <f>SUM(C13:C14)</f>
        <v>5818.76</v>
      </c>
      <c r="D15" s="383">
        <f>SUM(D13:D14)</f>
        <v>2583.2051999999999</v>
      </c>
      <c r="E15" s="383">
        <f>SUM(E13:E14)</f>
        <v>3775.3852000000002</v>
      </c>
      <c r="F15" s="383">
        <f>SUM(F13:F14)</f>
        <v>8837.0671999999995</v>
      </c>
      <c r="G15" s="384">
        <f t="shared" si="0"/>
        <v>21014.417600000001</v>
      </c>
      <c r="H15" s="202"/>
      <c r="I15" s="184"/>
      <c r="J15" s="202"/>
      <c r="K15" s="202"/>
      <c r="L15" s="202"/>
      <c r="M15" s="202"/>
      <c r="N15" s="202"/>
      <c r="O15" s="202"/>
      <c r="P15" s="202"/>
      <c r="Q15" s="205"/>
      <c r="R15" s="200"/>
      <c r="S15" s="200"/>
      <c r="V15" s="190"/>
    </row>
    <row r="16" spans="1:268" s="182" customFormat="1" ht="12.75" thickTop="1">
      <c r="A16" s="206" t="s">
        <v>878</v>
      </c>
      <c r="B16" s="206"/>
      <c r="C16" s="207">
        <f>C15*12</f>
        <v>69825.119999999995</v>
      </c>
      <c r="D16" s="208">
        <f>D15*12</f>
        <v>30998.462399999997</v>
      </c>
      <c r="E16" s="208">
        <f>E15*12</f>
        <v>45304.6224</v>
      </c>
      <c r="F16" s="208">
        <f>F15*12</f>
        <v>106044.8064</v>
      </c>
      <c r="G16" s="209">
        <f t="shared" si="0"/>
        <v>252173.01119999998</v>
      </c>
      <c r="H16" s="210"/>
      <c r="I16" s="211"/>
      <c r="J16" s="210"/>
      <c r="K16" s="210"/>
      <c r="L16" s="210"/>
      <c r="M16" s="210"/>
      <c r="N16" s="210"/>
      <c r="O16" s="210"/>
      <c r="P16" s="210"/>
      <c r="Q16" s="212"/>
      <c r="T16" s="206"/>
      <c r="U16" s="206"/>
      <c r="V16" s="190"/>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6"/>
      <c r="DK16" s="206"/>
      <c r="DL16" s="206"/>
      <c r="DM16" s="206"/>
      <c r="DN16" s="206"/>
      <c r="DO16" s="206"/>
      <c r="DP16" s="206"/>
      <c r="DQ16" s="206"/>
      <c r="DR16" s="206"/>
      <c r="DS16" s="206"/>
      <c r="DT16" s="206"/>
      <c r="DU16" s="206"/>
      <c r="DV16" s="206"/>
      <c r="DW16" s="206"/>
      <c r="DX16" s="206"/>
      <c r="DY16" s="206"/>
      <c r="DZ16" s="206"/>
      <c r="EA16" s="206"/>
      <c r="EB16" s="206"/>
      <c r="EC16" s="206"/>
      <c r="ED16" s="206"/>
      <c r="EE16" s="206"/>
      <c r="EF16" s="206"/>
      <c r="EG16" s="206"/>
      <c r="EH16" s="206"/>
      <c r="EI16" s="206"/>
      <c r="EJ16" s="206"/>
      <c r="EK16" s="206"/>
      <c r="EL16" s="206"/>
      <c r="EM16" s="206"/>
      <c r="EN16" s="206"/>
      <c r="EO16" s="206"/>
      <c r="EP16" s="206"/>
      <c r="EQ16" s="206"/>
      <c r="ER16" s="206"/>
      <c r="ES16" s="206"/>
      <c r="ET16" s="206"/>
      <c r="EU16" s="206"/>
      <c r="EV16" s="206"/>
      <c r="EW16" s="206"/>
      <c r="EX16" s="206"/>
      <c r="EY16" s="206"/>
      <c r="EZ16" s="206"/>
      <c r="FA16" s="206"/>
      <c r="FB16" s="206"/>
      <c r="FC16" s="206"/>
      <c r="FD16" s="206"/>
      <c r="FE16" s="206"/>
      <c r="FF16" s="206"/>
      <c r="FG16" s="206"/>
      <c r="FH16" s="206"/>
      <c r="FI16" s="206"/>
      <c r="FJ16" s="206"/>
      <c r="FK16" s="206"/>
      <c r="FL16" s="206"/>
      <c r="FM16" s="206"/>
      <c r="FN16" s="206"/>
      <c r="FO16" s="206"/>
      <c r="FP16" s="206"/>
      <c r="FQ16" s="206"/>
      <c r="FR16" s="206"/>
      <c r="FS16" s="206"/>
      <c r="FT16" s="206"/>
      <c r="FU16" s="206"/>
      <c r="FV16" s="206"/>
      <c r="FW16" s="206"/>
      <c r="FX16" s="206"/>
      <c r="FY16" s="206"/>
      <c r="FZ16" s="206"/>
      <c r="GA16" s="206"/>
      <c r="GB16" s="206"/>
      <c r="GC16" s="206"/>
      <c r="GD16" s="206"/>
      <c r="GE16" s="206"/>
      <c r="GF16" s="206"/>
      <c r="GG16" s="206"/>
      <c r="GH16" s="206"/>
      <c r="GI16" s="206"/>
      <c r="GJ16" s="206"/>
      <c r="GK16" s="206"/>
      <c r="GL16" s="206"/>
      <c r="GM16" s="206"/>
      <c r="GN16" s="206"/>
      <c r="GO16" s="206"/>
      <c r="GP16" s="206"/>
      <c r="GQ16" s="206"/>
      <c r="GR16" s="206"/>
      <c r="GS16" s="206"/>
      <c r="GT16" s="206"/>
      <c r="GU16" s="206"/>
      <c r="GV16" s="206"/>
      <c r="GW16" s="206"/>
      <c r="GX16" s="206"/>
      <c r="GY16" s="206"/>
      <c r="GZ16" s="206"/>
      <c r="HA16" s="206"/>
      <c r="HB16" s="206"/>
      <c r="HC16" s="206"/>
      <c r="HD16" s="206"/>
      <c r="HE16" s="206"/>
      <c r="HF16" s="206"/>
      <c r="HG16" s="206"/>
      <c r="HH16" s="206"/>
      <c r="HI16" s="206"/>
      <c r="HJ16" s="206"/>
      <c r="HK16" s="206"/>
      <c r="HL16" s="206"/>
      <c r="HM16" s="206"/>
      <c r="HN16" s="206"/>
      <c r="HO16" s="206"/>
      <c r="HP16" s="206"/>
      <c r="HQ16" s="206"/>
      <c r="HR16" s="206"/>
      <c r="HS16" s="206"/>
      <c r="HT16" s="206"/>
      <c r="HU16" s="206"/>
      <c r="HV16" s="206"/>
      <c r="HW16" s="206"/>
      <c r="HX16" s="206"/>
      <c r="HY16" s="206"/>
      <c r="HZ16" s="206"/>
      <c r="IA16" s="206"/>
      <c r="IB16" s="206"/>
      <c r="IC16" s="206"/>
      <c r="ID16" s="206"/>
      <c r="IE16" s="206"/>
      <c r="IF16" s="206"/>
      <c r="IG16" s="206"/>
      <c r="IH16" s="206"/>
      <c r="II16" s="206"/>
      <c r="IJ16" s="206"/>
      <c r="IK16" s="206"/>
      <c r="IL16" s="206"/>
      <c r="IM16" s="206"/>
      <c r="IN16" s="206"/>
      <c r="IO16" s="206"/>
      <c r="IP16" s="206"/>
      <c r="IQ16" s="206"/>
      <c r="IR16" s="206"/>
      <c r="IS16" s="206"/>
      <c r="IT16" s="206"/>
      <c r="IU16" s="206"/>
      <c r="IV16" s="206"/>
      <c r="IW16" s="206"/>
      <c r="IX16" s="206"/>
      <c r="IY16" s="206"/>
      <c r="IZ16" s="206"/>
      <c r="JA16" s="206"/>
      <c r="JB16" s="206"/>
      <c r="JC16" s="206"/>
      <c r="JD16" s="206"/>
      <c r="JE16" s="206"/>
      <c r="JF16" s="206"/>
      <c r="JG16" s="206"/>
      <c r="JH16" s="206"/>
    </row>
    <row r="17" spans="1:28" s="221" customFormat="1">
      <c r="A17" s="213"/>
      <c r="B17" s="213"/>
      <c r="C17" s="214"/>
      <c r="D17" s="215"/>
      <c r="E17" s="215"/>
      <c r="F17" s="215"/>
      <c r="G17" s="216"/>
      <c r="H17" s="217"/>
      <c r="I17" s="214"/>
      <c r="J17" s="217"/>
      <c r="K17" s="217"/>
      <c r="L17" s="217"/>
      <c r="M17" s="217"/>
      <c r="N17" s="217"/>
      <c r="O17" s="217"/>
      <c r="P17" s="217"/>
      <c r="Q17" s="216"/>
      <c r="R17" s="218"/>
      <c r="S17" s="219"/>
      <c r="T17" s="220"/>
      <c r="U17" s="220"/>
      <c r="V17" s="213"/>
    </row>
    <row r="18" spans="1:28" s="160" customFormat="1">
      <c r="A18" s="222" t="s">
        <v>879</v>
      </c>
      <c r="B18" s="223"/>
      <c r="C18" s="224"/>
      <c r="D18" s="225"/>
      <c r="E18" s="225"/>
      <c r="F18" s="225"/>
      <c r="G18" s="226"/>
      <c r="H18" s="227"/>
      <c r="I18" s="228"/>
      <c r="J18" s="227"/>
      <c r="K18" s="227"/>
      <c r="L18" s="227"/>
      <c r="M18" s="227"/>
      <c r="N18" s="227"/>
      <c r="O18" s="227"/>
      <c r="P18" s="227"/>
      <c r="Q18" s="226"/>
      <c r="R18" s="155"/>
      <c r="S18" s="229"/>
      <c r="T18" s="155"/>
      <c r="U18" s="155"/>
      <c r="V18" s="164"/>
    </row>
    <row r="19" spans="1:28" s="160" customFormat="1">
      <c r="A19" s="165" t="s">
        <v>1439</v>
      </c>
      <c r="B19" s="230"/>
      <c r="C19" s="231"/>
      <c r="D19" s="232"/>
      <c r="E19" s="232"/>
      <c r="F19" s="232"/>
      <c r="G19" s="233"/>
      <c r="H19" s="234"/>
      <c r="I19" s="231"/>
      <c r="J19" s="234"/>
      <c r="K19" s="234"/>
      <c r="L19" s="234"/>
      <c r="M19" s="234"/>
      <c r="N19" s="234"/>
      <c r="O19" s="234"/>
      <c r="P19" s="234"/>
      <c r="Q19" s="233"/>
      <c r="R19" s="155"/>
      <c r="S19" s="229"/>
      <c r="T19" s="155"/>
      <c r="U19" s="155"/>
      <c r="V19" s="164"/>
    </row>
    <row r="20" spans="1:28" s="160" customFormat="1">
      <c r="A20" s="235" t="s">
        <v>880</v>
      </c>
      <c r="B20" s="236">
        <v>7.25</v>
      </c>
      <c r="C20" s="231"/>
      <c r="D20" s="232"/>
      <c r="E20" s="232"/>
      <c r="F20" s="232"/>
      <c r="G20" s="233"/>
      <c r="H20" s="234"/>
      <c r="I20" s="231"/>
      <c r="J20" s="234"/>
      <c r="K20" s="234"/>
      <c r="L20" s="234"/>
      <c r="M20" s="234"/>
      <c r="N20" s="234"/>
      <c r="O20" s="234"/>
      <c r="P20" s="234"/>
      <c r="Q20" s="233"/>
      <c r="R20" s="155"/>
      <c r="S20" s="229"/>
      <c r="T20" s="155"/>
      <c r="U20" s="155"/>
      <c r="V20" s="164"/>
    </row>
    <row r="21" spans="1:28" s="155" customFormat="1">
      <c r="A21" s="237" t="s">
        <v>881</v>
      </c>
      <c r="B21" s="267">
        <v>150000</v>
      </c>
      <c r="C21" s="231">
        <v>0</v>
      </c>
      <c r="D21" s="385">
        <f>$B21*0.0028</f>
        <v>420</v>
      </c>
      <c r="E21" s="232">
        <f>$B21*0.0019</f>
        <v>285</v>
      </c>
      <c r="F21" s="232">
        <f>B21-C21-D21-E21</f>
        <v>149295</v>
      </c>
      <c r="G21" s="233">
        <f t="shared" ref="G21:G26" si="1">SUM(C21:F21)</f>
        <v>150000</v>
      </c>
      <c r="H21" s="238" t="s">
        <v>1440</v>
      </c>
      <c r="I21" s="231"/>
      <c r="J21" s="234"/>
      <c r="K21" s="234"/>
      <c r="L21" s="234"/>
      <c r="M21" s="234"/>
      <c r="N21" s="234"/>
      <c r="O21" s="234"/>
      <c r="P21" s="234"/>
      <c r="Q21" s="239"/>
      <c r="R21" s="240" t="s">
        <v>882</v>
      </c>
      <c r="S21" s="241"/>
      <c r="V21" s="230"/>
      <c r="X21" s="234"/>
      <c r="Y21" s="234"/>
      <c r="Z21" s="234"/>
      <c r="AA21" s="234"/>
      <c r="AB21" s="242"/>
    </row>
    <row r="22" spans="1:28" s="155" customFormat="1">
      <c r="A22" s="237" t="s">
        <v>1441</v>
      </c>
      <c r="B22" s="267">
        <f>((16.95+14.4+20.69+92.85+94.62+108.84)+(11.5+9.77+14.04+63.01+64.21+73.86)+(734.27+623.87+896.44+4022.39+4099+4715.22))</f>
        <v>15675.929999999998</v>
      </c>
      <c r="C22" s="231">
        <v>0</v>
      </c>
      <c r="D22" s="385">
        <f>(16.95+14.4+20.69+92.85+94.62+108.84+108.48+95.89+95.94+100.72+104.59+83.59)</f>
        <v>937.56000000000017</v>
      </c>
      <c r="E22" s="232">
        <f>(11.5+9.77+14.04+63.01+64.21+73.86+73.61+65.07+65.1+68.35+70.97+56.72)</f>
        <v>636.21</v>
      </c>
      <c r="F22" s="232">
        <f>(734.27+623.87+896.44+4022.39+4099+4715.22+3924.76+3469.2+3470.98+3643.92+3784.02+3024.1)</f>
        <v>36408.169999999991</v>
      </c>
      <c r="G22" s="233">
        <f t="shared" si="1"/>
        <v>37981.939999999988</v>
      </c>
      <c r="H22" s="238" t="s">
        <v>1442</v>
      </c>
      <c r="I22" s="231"/>
      <c r="J22" s="234"/>
      <c r="K22" s="234"/>
      <c r="L22" s="234"/>
      <c r="M22" s="234"/>
      <c r="N22" s="234"/>
      <c r="O22" s="234"/>
      <c r="P22" s="234"/>
      <c r="Q22" s="239"/>
      <c r="R22" s="244" t="s">
        <v>883</v>
      </c>
      <c r="S22" s="241"/>
      <c r="X22" s="234"/>
      <c r="Y22" s="234"/>
      <c r="Z22" s="234"/>
      <c r="AA22" s="234"/>
      <c r="AB22" s="229"/>
    </row>
    <row r="23" spans="1:28" s="155" customFormat="1">
      <c r="A23" s="237" t="s">
        <v>884</v>
      </c>
      <c r="B23" s="267">
        <v>184657.51</v>
      </c>
      <c r="C23" s="231">
        <v>0</v>
      </c>
      <c r="D23" s="385">
        <f>$B23*0.0028</f>
        <v>517.04102799999998</v>
      </c>
      <c r="E23" s="232">
        <f>$B23*0.0019</f>
        <v>350.84926899999999</v>
      </c>
      <c r="F23" s="232">
        <f>B23-C23-D23-E23</f>
        <v>183789.619703</v>
      </c>
      <c r="G23" s="233">
        <f t="shared" si="1"/>
        <v>184657.51</v>
      </c>
      <c r="H23" s="238" t="s">
        <v>1440</v>
      </c>
      <c r="I23" s="231"/>
      <c r="J23" s="234"/>
      <c r="K23" s="234"/>
      <c r="L23" s="234"/>
      <c r="M23" s="234"/>
      <c r="N23" s="234"/>
      <c r="O23" s="234"/>
      <c r="P23" s="234"/>
      <c r="Q23" s="239"/>
      <c r="R23" s="244" t="s">
        <v>1443</v>
      </c>
      <c r="S23" s="241"/>
      <c r="X23" s="234"/>
      <c r="Y23" s="234"/>
      <c r="Z23" s="234"/>
      <c r="AA23" s="234"/>
      <c r="AB23" s="229"/>
    </row>
    <row r="24" spans="1:28" s="155" customFormat="1">
      <c r="A24" s="237" t="s">
        <v>885</v>
      </c>
      <c r="B24" s="267">
        <f>33600+26000</f>
        <v>59600</v>
      </c>
      <c r="C24" s="231">
        <f>($B24*0.1)-5960</f>
        <v>0</v>
      </c>
      <c r="D24" s="385">
        <f>$B24*0.0028</f>
        <v>166.88</v>
      </c>
      <c r="E24" s="232">
        <f>$B24*0.0019</f>
        <v>113.24</v>
      </c>
      <c r="F24" s="232">
        <f>B24-D24-E24</f>
        <v>59319.880000000005</v>
      </c>
      <c r="G24" s="233">
        <f t="shared" si="1"/>
        <v>59600.000000000007</v>
      </c>
      <c r="H24" s="386" t="s">
        <v>1444</v>
      </c>
      <c r="I24" s="231"/>
      <c r="J24" s="234"/>
      <c r="K24" s="234"/>
      <c r="L24" s="234"/>
      <c r="M24" s="234"/>
      <c r="N24" s="234"/>
      <c r="O24" s="234"/>
      <c r="P24" s="234"/>
      <c r="Q24" s="239"/>
      <c r="R24" s="244" t="s">
        <v>886</v>
      </c>
      <c r="S24" s="241"/>
      <c r="W24" s="234"/>
      <c r="X24" s="234"/>
      <c r="Y24" s="234"/>
      <c r="Z24" s="234"/>
      <c r="AA24" s="234"/>
      <c r="AB24" s="245"/>
    </row>
    <row r="25" spans="1:28" s="155" customFormat="1">
      <c r="A25" s="237" t="s">
        <v>875</v>
      </c>
      <c r="B25" s="267">
        <f>SUM(B21:B24)*0.04</f>
        <v>16397.337599999999</v>
      </c>
      <c r="C25" s="231">
        <f>SUM(C21:C24)*0.04</f>
        <v>0</v>
      </c>
      <c r="D25" s="385">
        <f>SUM(D21:D24)*0.04</f>
        <v>81.659241120000004</v>
      </c>
      <c r="E25" s="232">
        <f>SUM(E21:E24)*0.04</f>
        <v>55.411970760000003</v>
      </c>
      <c r="F25" s="232">
        <f>SUM(F21:F24)*0.04</f>
        <v>17152.506788120001</v>
      </c>
      <c r="G25" s="233">
        <f t="shared" si="1"/>
        <v>17289.578000000001</v>
      </c>
      <c r="H25" s="238"/>
      <c r="I25" s="231"/>
      <c r="J25" s="234"/>
      <c r="K25" s="234"/>
      <c r="L25" s="234"/>
      <c r="M25" s="234"/>
      <c r="N25" s="234"/>
      <c r="O25" s="234"/>
      <c r="P25" s="234"/>
      <c r="Q25" s="239"/>
      <c r="R25" s="244" t="s">
        <v>887</v>
      </c>
      <c r="S25" s="241"/>
      <c r="W25" s="234"/>
      <c r="X25" s="234"/>
      <c r="Y25" s="234"/>
      <c r="Z25" s="234"/>
      <c r="AA25" s="234"/>
      <c r="AB25" s="245"/>
    </row>
    <row r="26" spans="1:28" s="160" customFormat="1">
      <c r="A26" s="154" t="s">
        <v>888</v>
      </c>
      <c r="B26" s="387">
        <f>SUM(B21:B25)</f>
        <v>426330.77760000003</v>
      </c>
      <c r="C26" s="388">
        <f>SUM(C21:C25)</f>
        <v>0</v>
      </c>
      <c r="D26" s="389">
        <f>SUM(D21:D25)</f>
        <v>2123.1402691200001</v>
      </c>
      <c r="E26" s="390">
        <f>SUM(E21:E25)</f>
        <v>1440.7112397600001</v>
      </c>
      <c r="F26" s="390">
        <f>SUM(F21:F25)</f>
        <v>445965.17649112002</v>
      </c>
      <c r="G26" s="391">
        <f t="shared" si="1"/>
        <v>449529.02799999999</v>
      </c>
      <c r="H26" s="246"/>
      <c r="I26" s="231"/>
      <c r="J26" s="247"/>
      <c r="K26" s="247"/>
      <c r="L26" s="247"/>
      <c r="M26" s="247"/>
      <c r="N26" s="247"/>
      <c r="O26" s="247"/>
      <c r="P26" s="247"/>
      <c r="Q26" s="233"/>
      <c r="S26" s="241"/>
      <c r="T26" s="155"/>
      <c r="U26" s="155"/>
      <c r="V26" s="164"/>
    </row>
    <row r="27" spans="1:28">
      <c r="A27" s="248"/>
      <c r="B27" s="248"/>
      <c r="C27" s="249"/>
      <c r="D27" s="250"/>
      <c r="E27" s="250"/>
      <c r="F27" s="250"/>
      <c r="G27" s="251"/>
      <c r="H27" s="252"/>
      <c r="I27" s="249"/>
      <c r="J27" s="252"/>
      <c r="K27" s="252"/>
      <c r="L27" s="252"/>
      <c r="M27" s="252"/>
      <c r="N27" s="252"/>
      <c r="O27" s="252"/>
      <c r="P27" s="252"/>
      <c r="Q27" s="251"/>
      <c r="R27" s="253"/>
      <c r="S27" s="253"/>
      <c r="T27" s="254"/>
      <c r="U27" s="254"/>
    </row>
    <row r="28" spans="1:28" s="160" customFormat="1">
      <c r="A28" s="161" t="s">
        <v>889</v>
      </c>
      <c r="B28" s="256"/>
      <c r="C28" s="257"/>
      <c r="D28" s="258"/>
      <c r="E28" s="258"/>
      <c r="F28" s="258"/>
      <c r="G28" s="259"/>
      <c r="H28" s="229"/>
      <c r="I28" s="257"/>
      <c r="J28" s="229"/>
      <c r="K28" s="229"/>
      <c r="L28" s="229"/>
      <c r="M28" s="229"/>
      <c r="N28" s="229"/>
      <c r="O28" s="229"/>
      <c r="P28" s="229"/>
      <c r="Q28" s="259"/>
      <c r="R28" s="229"/>
      <c r="T28" s="245"/>
      <c r="U28" s="155"/>
      <c r="V28" s="164"/>
    </row>
    <row r="29" spans="1:28" s="160" customFormat="1">
      <c r="A29" s="260" t="s">
        <v>890</v>
      </c>
      <c r="B29" s="256"/>
      <c r="C29" s="257"/>
      <c r="D29" s="258"/>
      <c r="E29" s="258"/>
      <c r="F29" s="258"/>
      <c r="G29" s="259"/>
      <c r="H29" s="229"/>
      <c r="I29" s="257"/>
      <c r="J29" s="229"/>
      <c r="K29" s="229"/>
      <c r="L29" s="229"/>
      <c r="M29" s="229"/>
      <c r="N29" s="229"/>
      <c r="O29" s="229"/>
      <c r="P29" s="229"/>
      <c r="Q29" s="259"/>
      <c r="R29" s="229"/>
      <c r="T29" s="245"/>
      <c r="U29" s="155"/>
      <c r="V29" s="164"/>
    </row>
    <row r="30" spans="1:28" s="160" customFormat="1">
      <c r="A30" s="237" t="s">
        <v>891</v>
      </c>
      <c r="B30" s="261" t="s">
        <v>892</v>
      </c>
      <c r="C30" s="231">
        <v>25907</v>
      </c>
      <c r="D30" s="232">
        <v>3916</v>
      </c>
      <c r="E30" s="232">
        <v>13162</v>
      </c>
      <c r="F30" s="232">
        <f>SUM(K30:N30)</f>
        <v>30765</v>
      </c>
      <c r="G30" s="233">
        <f>SUM(C30:F30)</f>
        <v>73750</v>
      </c>
      <c r="H30" s="238" t="s">
        <v>1445</v>
      </c>
      <c r="I30" s="231"/>
      <c r="J30" s="234"/>
      <c r="K30" s="234">
        <f>313.4+1096.9+2820.6+11439.1</f>
        <v>15670</v>
      </c>
      <c r="L30" s="234">
        <v>8312</v>
      </c>
      <c r="M30" s="234">
        <v>6500</v>
      </c>
      <c r="N30" s="262">
        <v>283</v>
      </c>
      <c r="O30" s="263"/>
      <c r="P30" s="263"/>
      <c r="Q30" s="233">
        <f>SUM(I30:O30)</f>
        <v>30765</v>
      </c>
      <c r="U30" s="155"/>
      <c r="V30" s="151"/>
    </row>
    <row r="31" spans="1:28" s="160" customFormat="1">
      <c r="A31" s="237" t="s">
        <v>893</v>
      </c>
      <c r="B31" s="234"/>
      <c r="C31" s="231">
        <v>0</v>
      </c>
      <c r="D31" s="232">
        <v>0</v>
      </c>
      <c r="E31" s="232">
        <v>0</v>
      </c>
      <c r="F31" s="232">
        <f>215993</f>
        <v>215993</v>
      </c>
      <c r="G31" s="233">
        <f>SUM(C31:F31)</f>
        <v>215993</v>
      </c>
      <c r="H31" s="238" t="s">
        <v>894</v>
      </c>
      <c r="I31" s="231"/>
      <c r="J31" s="234"/>
      <c r="K31" s="234"/>
      <c r="L31" s="234"/>
      <c r="M31" s="234"/>
      <c r="O31" s="234"/>
      <c r="P31" s="234"/>
      <c r="Q31" s="233"/>
      <c r="R31" s="234"/>
      <c r="S31" s="234"/>
      <c r="T31" s="262"/>
      <c r="U31" s="155"/>
      <c r="V31" s="164"/>
    </row>
    <row r="32" spans="1:28" s="160" customFormat="1">
      <c r="A32" s="237" t="s">
        <v>895</v>
      </c>
      <c r="B32" s="234"/>
      <c r="C32" s="231">
        <v>0</v>
      </c>
      <c r="D32" s="232">
        <v>0</v>
      </c>
      <c r="E32" s="232">
        <v>0</v>
      </c>
      <c r="F32" s="232">
        <f>257277+103846</f>
        <v>361123</v>
      </c>
      <c r="G32" s="233">
        <f>SUM(C32:F32)</f>
        <v>361123</v>
      </c>
      <c r="H32" s="238" t="s">
        <v>894</v>
      </c>
      <c r="I32" s="231"/>
      <c r="J32" s="234"/>
      <c r="K32" s="234"/>
      <c r="L32" s="234"/>
      <c r="M32" s="234"/>
      <c r="N32" s="234"/>
      <c r="O32" s="234"/>
      <c r="P32" s="234"/>
      <c r="Q32" s="233"/>
      <c r="R32" s="234"/>
      <c r="S32" s="234"/>
      <c r="T32" s="262"/>
      <c r="U32" s="155"/>
      <c r="V32" s="151"/>
    </row>
    <row r="33" spans="1:268" s="160" customFormat="1">
      <c r="A33" s="154" t="s">
        <v>896</v>
      </c>
      <c r="B33" s="241"/>
      <c r="C33" s="392">
        <f>SUM(C30:C32)</f>
        <v>25907</v>
      </c>
      <c r="D33" s="393">
        <f>SUM(D30:D32)</f>
        <v>3916</v>
      </c>
      <c r="E33" s="393">
        <f>SUM(E30:E32)</f>
        <v>13162</v>
      </c>
      <c r="F33" s="393">
        <f>SUM(F30:F32)</f>
        <v>607881</v>
      </c>
      <c r="G33" s="391">
        <f>SUM(C33:F33)</f>
        <v>650866</v>
      </c>
      <c r="H33" s="241"/>
      <c r="I33" s="264"/>
      <c r="J33" s="241"/>
      <c r="K33" s="241"/>
      <c r="L33" s="241"/>
      <c r="M33" s="241"/>
      <c r="N33" s="241"/>
      <c r="O33" s="241"/>
      <c r="P33" s="241"/>
      <c r="Q33" s="265"/>
      <c r="R33" s="241"/>
      <c r="S33" s="241"/>
      <c r="T33" s="262"/>
      <c r="U33" s="154"/>
      <c r="V33" s="164"/>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c r="BR33" s="151"/>
      <c r="BS33" s="151"/>
      <c r="BT33" s="151"/>
      <c r="BU33" s="151"/>
      <c r="BV33" s="151"/>
      <c r="BW33" s="151"/>
      <c r="BX33" s="151"/>
      <c r="BY33" s="151"/>
      <c r="BZ33" s="151"/>
      <c r="CA33" s="151"/>
      <c r="CB33" s="151"/>
      <c r="CC33" s="151"/>
      <c r="CD33" s="151"/>
      <c r="CE33" s="151"/>
      <c r="CF33" s="151"/>
      <c r="CG33" s="151"/>
      <c r="CH33" s="151"/>
      <c r="CI33" s="151"/>
      <c r="CJ33" s="151"/>
      <c r="CK33" s="151"/>
      <c r="CL33" s="151"/>
      <c r="CM33" s="151"/>
      <c r="CN33" s="151"/>
      <c r="CO33" s="151"/>
      <c r="CP33" s="151"/>
      <c r="CQ33" s="151"/>
      <c r="CR33" s="151"/>
      <c r="CS33" s="151"/>
      <c r="CT33" s="151"/>
      <c r="CU33" s="151"/>
      <c r="CV33" s="151"/>
      <c r="CW33" s="151"/>
      <c r="CX33" s="151"/>
      <c r="CY33" s="151"/>
      <c r="CZ33" s="151"/>
      <c r="DA33" s="151"/>
      <c r="DB33" s="151"/>
      <c r="DC33" s="151"/>
      <c r="DD33" s="151"/>
      <c r="DE33" s="151"/>
      <c r="DF33" s="151"/>
      <c r="DG33" s="151"/>
      <c r="DH33" s="151"/>
      <c r="DI33" s="151"/>
      <c r="DJ33" s="151"/>
      <c r="DK33" s="151"/>
      <c r="DL33" s="151"/>
      <c r="DM33" s="151"/>
      <c r="DN33" s="151"/>
      <c r="DO33" s="151"/>
      <c r="DP33" s="151"/>
      <c r="DQ33" s="151"/>
      <c r="DR33" s="151"/>
      <c r="DS33" s="151"/>
      <c r="DT33" s="151"/>
      <c r="DU33" s="151"/>
      <c r="DV33" s="151"/>
      <c r="DW33" s="151"/>
      <c r="DX33" s="151"/>
      <c r="DY33" s="151"/>
      <c r="DZ33" s="151"/>
      <c r="EA33" s="151"/>
      <c r="EB33" s="151"/>
      <c r="EC33" s="151"/>
      <c r="ED33" s="151"/>
      <c r="EE33" s="151"/>
      <c r="EF33" s="151"/>
      <c r="EG33" s="151"/>
      <c r="EH33" s="151"/>
      <c r="EI33" s="151"/>
      <c r="EJ33" s="151"/>
      <c r="EK33" s="151"/>
      <c r="EL33" s="151"/>
      <c r="EM33" s="151"/>
      <c r="EN33" s="151"/>
      <c r="EO33" s="151"/>
      <c r="EP33" s="151"/>
      <c r="EQ33" s="151"/>
      <c r="ER33" s="151"/>
      <c r="ES33" s="151"/>
      <c r="ET33" s="151"/>
      <c r="EU33" s="151"/>
      <c r="EV33" s="151"/>
      <c r="EW33" s="151"/>
      <c r="EX33" s="151"/>
      <c r="EY33" s="151"/>
      <c r="EZ33" s="151"/>
      <c r="FA33" s="151"/>
      <c r="FB33" s="151"/>
      <c r="FC33" s="151"/>
      <c r="FD33" s="151"/>
      <c r="FE33" s="151"/>
      <c r="FF33" s="151"/>
      <c r="FG33" s="151"/>
      <c r="FH33" s="151"/>
      <c r="FI33" s="151"/>
      <c r="FJ33" s="151"/>
      <c r="FK33" s="151"/>
      <c r="FL33" s="151"/>
      <c r="FM33" s="151"/>
      <c r="FN33" s="151"/>
      <c r="FO33" s="151"/>
      <c r="FP33" s="151"/>
      <c r="FQ33" s="151"/>
      <c r="FR33" s="151"/>
      <c r="FS33" s="151"/>
      <c r="FT33" s="151"/>
      <c r="FU33" s="151"/>
      <c r="FV33" s="151"/>
      <c r="FW33" s="151"/>
      <c r="FX33" s="151"/>
      <c r="FY33" s="151"/>
      <c r="FZ33" s="151"/>
      <c r="GA33" s="151"/>
      <c r="GB33" s="151"/>
      <c r="GC33" s="151"/>
      <c r="GD33" s="151"/>
      <c r="GE33" s="151"/>
      <c r="GF33" s="151"/>
      <c r="GG33" s="151"/>
      <c r="GH33" s="151"/>
      <c r="GI33" s="151"/>
      <c r="GJ33" s="151"/>
      <c r="GK33" s="151"/>
      <c r="GL33" s="151"/>
      <c r="GM33" s="151"/>
      <c r="GN33" s="151"/>
      <c r="GO33" s="151"/>
      <c r="GP33" s="151"/>
      <c r="GQ33" s="151"/>
      <c r="GR33" s="151"/>
      <c r="GS33" s="151"/>
      <c r="GT33" s="151"/>
      <c r="GU33" s="151"/>
      <c r="GV33" s="151"/>
      <c r="GW33" s="151"/>
      <c r="GX33" s="151"/>
      <c r="GY33" s="151"/>
      <c r="GZ33" s="151"/>
      <c r="HA33" s="151"/>
      <c r="HB33" s="151"/>
      <c r="HC33" s="151"/>
      <c r="HD33" s="151"/>
      <c r="HE33" s="151"/>
      <c r="HF33" s="151"/>
      <c r="HG33" s="151"/>
      <c r="HH33" s="151"/>
      <c r="HI33" s="151"/>
      <c r="HJ33" s="151"/>
      <c r="HK33" s="151"/>
      <c r="HL33" s="151"/>
      <c r="HM33" s="151"/>
      <c r="HN33" s="151"/>
      <c r="HO33" s="151"/>
      <c r="HP33" s="151"/>
      <c r="HQ33" s="151"/>
      <c r="HR33" s="151"/>
      <c r="HS33" s="151"/>
      <c r="HT33" s="151"/>
      <c r="HU33" s="151"/>
      <c r="HV33" s="151"/>
      <c r="HW33" s="151"/>
      <c r="HX33" s="151"/>
      <c r="HY33" s="151"/>
      <c r="HZ33" s="151"/>
      <c r="IA33" s="151"/>
      <c r="IB33" s="151"/>
      <c r="IC33" s="151"/>
      <c r="ID33" s="151"/>
      <c r="IE33" s="151"/>
      <c r="IF33" s="151"/>
      <c r="IG33" s="151"/>
      <c r="IH33" s="151"/>
      <c r="II33" s="151"/>
      <c r="IJ33" s="151"/>
      <c r="IK33" s="151"/>
      <c r="IL33" s="151"/>
      <c r="IM33" s="151"/>
      <c r="IN33" s="151"/>
      <c r="IO33" s="151"/>
      <c r="IP33" s="151"/>
      <c r="IQ33" s="151"/>
      <c r="IR33" s="151"/>
      <c r="IS33" s="151"/>
      <c r="IT33" s="151"/>
      <c r="IU33" s="151"/>
      <c r="IV33" s="151"/>
      <c r="IW33" s="151"/>
      <c r="IX33" s="151"/>
      <c r="IY33" s="151"/>
      <c r="IZ33" s="151"/>
      <c r="JA33" s="151"/>
      <c r="JB33" s="151"/>
      <c r="JC33" s="151"/>
      <c r="JD33" s="151"/>
      <c r="JE33" s="151"/>
      <c r="JF33" s="151"/>
      <c r="JG33" s="151"/>
      <c r="JH33" s="151"/>
    </row>
    <row r="34" spans="1:268" s="160" customFormat="1">
      <c r="A34" s="154"/>
      <c r="B34" s="241"/>
      <c r="C34" s="264"/>
      <c r="D34" s="266"/>
      <c r="E34" s="266"/>
      <c r="F34" s="266"/>
      <c r="G34" s="265"/>
      <c r="H34" s="241"/>
      <c r="I34" s="264"/>
      <c r="J34" s="241"/>
      <c r="K34" s="241"/>
      <c r="L34" s="241"/>
      <c r="M34" s="241"/>
      <c r="N34" s="241"/>
      <c r="O34" s="241"/>
      <c r="P34" s="241"/>
      <c r="Q34" s="265"/>
      <c r="R34" s="241"/>
      <c r="S34" s="241"/>
      <c r="T34" s="262"/>
      <c r="U34" s="154"/>
      <c r="V34" s="164"/>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151"/>
      <c r="BX34" s="151"/>
      <c r="BY34" s="151"/>
      <c r="BZ34" s="151"/>
      <c r="CA34" s="151"/>
      <c r="CB34" s="151"/>
      <c r="CC34" s="151"/>
      <c r="CD34" s="151"/>
      <c r="CE34" s="151"/>
      <c r="CF34" s="151"/>
      <c r="CG34" s="151"/>
      <c r="CH34" s="151"/>
      <c r="CI34" s="151"/>
      <c r="CJ34" s="151"/>
      <c r="CK34" s="151"/>
      <c r="CL34" s="151"/>
      <c r="CM34" s="151"/>
      <c r="CN34" s="151"/>
      <c r="CO34" s="151"/>
      <c r="CP34" s="151"/>
      <c r="CQ34" s="151"/>
      <c r="CR34" s="151"/>
      <c r="CS34" s="151"/>
      <c r="CT34" s="151"/>
      <c r="CU34" s="151"/>
      <c r="CV34" s="151"/>
      <c r="CW34" s="151"/>
      <c r="CX34" s="151"/>
      <c r="CY34" s="151"/>
      <c r="CZ34" s="151"/>
      <c r="DA34" s="151"/>
      <c r="DB34" s="151"/>
      <c r="DC34" s="151"/>
      <c r="DD34" s="151"/>
      <c r="DE34" s="151"/>
      <c r="DF34" s="151"/>
      <c r="DG34" s="151"/>
      <c r="DH34" s="151"/>
      <c r="DI34" s="151"/>
      <c r="DJ34" s="151"/>
      <c r="DK34" s="151"/>
      <c r="DL34" s="151"/>
      <c r="DM34" s="151"/>
      <c r="DN34" s="151"/>
      <c r="DO34" s="151"/>
      <c r="DP34" s="151"/>
      <c r="DQ34" s="151"/>
      <c r="DR34" s="151"/>
      <c r="DS34" s="151"/>
      <c r="DT34" s="151"/>
      <c r="DU34" s="151"/>
      <c r="DV34" s="151"/>
      <c r="DW34" s="151"/>
      <c r="DX34" s="151"/>
      <c r="DY34" s="151"/>
      <c r="DZ34" s="151"/>
      <c r="EA34" s="151"/>
      <c r="EB34" s="151"/>
      <c r="EC34" s="151"/>
      <c r="ED34" s="151"/>
      <c r="EE34" s="151"/>
      <c r="EF34" s="151"/>
      <c r="EG34" s="151"/>
      <c r="EH34" s="151"/>
      <c r="EI34" s="151"/>
      <c r="EJ34" s="151"/>
      <c r="EK34" s="151"/>
      <c r="EL34" s="151"/>
      <c r="EM34" s="151"/>
      <c r="EN34" s="151"/>
      <c r="EO34" s="151"/>
      <c r="EP34" s="151"/>
      <c r="EQ34" s="151"/>
      <c r="ER34" s="151"/>
      <c r="ES34" s="151"/>
      <c r="ET34" s="151"/>
      <c r="EU34" s="151"/>
      <c r="EV34" s="151"/>
      <c r="EW34" s="151"/>
      <c r="EX34" s="151"/>
      <c r="EY34" s="151"/>
      <c r="EZ34" s="151"/>
      <c r="FA34" s="151"/>
      <c r="FB34" s="151"/>
      <c r="FC34" s="151"/>
      <c r="FD34" s="151"/>
      <c r="FE34" s="151"/>
      <c r="FF34" s="151"/>
      <c r="FG34" s="151"/>
      <c r="FH34" s="151"/>
      <c r="FI34" s="151"/>
      <c r="FJ34" s="151"/>
      <c r="FK34" s="151"/>
      <c r="FL34" s="151"/>
      <c r="FM34" s="151"/>
      <c r="FN34" s="151"/>
      <c r="FO34" s="151"/>
      <c r="FP34" s="151"/>
      <c r="FQ34" s="151"/>
      <c r="FR34" s="151"/>
      <c r="FS34" s="151"/>
      <c r="FT34" s="151"/>
      <c r="FU34" s="151"/>
      <c r="FV34" s="151"/>
      <c r="FW34" s="151"/>
      <c r="FX34" s="151"/>
      <c r="FY34" s="151"/>
      <c r="FZ34" s="151"/>
      <c r="GA34" s="151"/>
      <c r="GB34" s="151"/>
      <c r="GC34" s="151"/>
      <c r="GD34" s="151"/>
      <c r="GE34" s="151"/>
      <c r="GF34" s="151"/>
      <c r="GG34" s="151"/>
      <c r="GH34" s="151"/>
      <c r="GI34" s="151"/>
      <c r="GJ34" s="151"/>
      <c r="GK34" s="151"/>
      <c r="GL34" s="151"/>
      <c r="GM34" s="151"/>
      <c r="GN34" s="151"/>
      <c r="GO34" s="151"/>
      <c r="GP34" s="151"/>
      <c r="GQ34" s="151"/>
      <c r="GR34" s="151"/>
      <c r="GS34" s="151"/>
      <c r="GT34" s="151"/>
      <c r="GU34" s="151"/>
      <c r="GV34" s="151"/>
      <c r="GW34" s="151"/>
      <c r="GX34" s="151"/>
      <c r="GY34" s="151"/>
      <c r="GZ34" s="151"/>
      <c r="HA34" s="151"/>
      <c r="HB34" s="151"/>
      <c r="HC34" s="151"/>
      <c r="HD34" s="151"/>
      <c r="HE34" s="151"/>
      <c r="HF34" s="151"/>
      <c r="HG34" s="151"/>
      <c r="HH34" s="151"/>
      <c r="HI34" s="151"/>
      <c r="HJ34" s="151"/>
      <c r="HK34" s="151"/>
      <c r="HL34" s="151"/>
      <c r="HM34" s="151"/>
      <c r="HN34" s="151"/>
      <c r="HO34" s="151"/>
      <c r="HP34" s="151"/>
      <c r="HQ34" s="151"/>
      <c r="HR34" s="151"/>
      <c r="HS34" s="151"/>
      <c r="HT34" s="151"/>
      <c r="HU34" s="151"/>
      <c r="HV34" s="151"/>
      <c r="HW34" s="151"/>
      <c r="HX34" s="151"/>
      <c r="HY34" s="151"/>
      <c r="HZ34" s="151"/>
      <c r="IA34" s="151"/>
      <c r="IB34" s="151"/>
      <c r="IC34" s="151"/>
      <c r="ID34" s="151"/>
      <c r="IE34" s="151"/>
      <c r="IF34" s="151"/>
      <c r="IG34" s="151"/>
      <c r="IH34" s="151"/>
      <c r="II34" s="151"/>
      <c r="IJ34" s="151"/>
      <c r="IK34" s="151"/>
      <c r="IL34" s="151"/>
      <c r="IM34" s="151"/>
      <c r="IN34" s="151"/>
      <c r="IO34" s="151"/>
      <c r="IP34" s="151"/>
      <c r="IQ34" s="151"/>
      <c r="IR34" s="151"/>
      <c r="IS34" s="151"/>
      <c r="IT34" s="151"/>
      <c r="IU34" s="151"/>
      <c r="IV34" s="151"/>
      <c r="IW34" s="151"/>
      <c r="IX34" s="151"/>
      <c r="IY34" s="151"/>
      <c r="IZ34" s="151"/>
      <c r="JA34" s="151"/>
      <c r="JB34" s="151"/>
      <c r="JC34" s="151"/>
      <c r="JD34" s="151"/>
      <c r="JE34" s="151"/>
      <c r="JF34" s="151"/>
      <c r="JG34" s="151"/>
      <c r="JH34" s="151"/>
    </row>
    <row r="35" spans="1:268" s="160" customFormat="1">
      <c r="A35" s="154" t="s">
        <v>897</v>
      </c>
      <c r="B35" s="241"/>
      <c r="C35" s="264"/>
      <c r="D35" s="266"/>
      <c r="E35" s="266"/>
      <c r="F35" s="266"/>
      <c r="G35" s="265"/>
      <c r="H35" s="241"/>
      <c r="I35" s="264"/>
      <c r="J35" s="241"/>
      <c r="K35" s="241"/>
      <c r="L35" s="241"/>
      <c r="M35" s="241"/>
      <c r="N35" s="241"/>
      <c r="O35" s="241"/>
      <c r="P35" s="241"/>
      <c r="Q35" s="265"/>
      <c r="S35" s="241"/>
      <c r="T35" s="262"/>
      <c r="U35" s="154"/>
      <c r="V35" s="164"/>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1"/>
      <c r="BR35" s="151"/>
      <c r="BS35" s="151"/>
      <c r="BT35" s="151"/>
      <c r="BU35" s="151"/>
      <c r="BV35" s="151"/>
      <c r="BW35" s="151"/>
      <c r="BX35" s="151"/>
      <c r="BY35" s="151"/>
      <c r="BZ35" s="151"/>
      <c r="CA35" s="151"/>
      <c r="CB35" s="151"/>
      <c r="CC35" s="151"/>
      <c r="CD35" s="151"/>
      <c r="CE35" s="151"/>
      <c r="CF35" s="151"/>
      <c r="CG35" s="151"/>
      <c r="CH35" s="151"/>
      <c r="CI35" s="151"/>
      <c r="CJ35" s="151"/>
      <c r="CK35" s="151"/>
      <c r="CL35" s="151"/>
      <c r="CM35" s="151"/>
      <c r="CN35" s="151"/>
      <c r="CO35" s="151"/>
      <c r="CP35" s="151"/>
      <c r="CQ35" s="151"/>
      <c r="CR35" s="151"/>
      <c r="CS35" s="151"/>
      <c r="CT35" s="151"/>
      <c r="CU35" s="151"/>
      <c r="CV35" s="151"/>
      <c r="CW35" s="151"/>
      <c r="CX35" s="151"/>
      <c r="CY35" s="151"/>
      <c r="CZ35" s="151"/>
      <c r="DA35" s="151"/>
      <c r="DB35" s="151"/>
      <c r="DC35" s="151"/>
      <c r="DD35" s="151"/>
      <c r="DE35" s="151"/>
      <c r="DF35" s="151"/>
      <c r="DG35" s="151"/>
      <c r="DH35" s="151"/>
      <c r="DI35" s="151"/>
      <c r="DJ35" s="151"/>
      <c r="DK35" s="151"/>
      <c r="DL35" s="151"/>
      <c r="DM35" s="151"/>
      <c r="DN35" s="151"/>
      <c r="DO35" s="151"/>
      <c r="DP35" s="151"/>
      <c r="DQ35" s="151"/>
      <c r="DR35" s="151"/>
      <c r="DS35" s="151"/>
      <c r="DT35" s="151"/>
      <c r="DU35" s="151"/>
      <c r="DV35" s="151"/>
      <c r="DW35" s="151"/>
      <c r="DX35" s="151"/>
      <c r="DY35" s="151"/>
      <c r="DZ35" s="151"/>
      <c r="EA35" s="151"/>
      <c r="EB35" s="151"/>
      <c r="EC35" s="151"/>
      <c r="ED35" s="151"/>
      <c r="EE35" s="151"/>
      <c r="EF35" s="151"/>
      <c r="EG35" s="151"/>
      <c r="EH35" s="151"/>
      <c r="EI35" s="151"/>
      <c r="EJ35" s="151"/>
      <c r="EK35" s="151"/>
      <c r="EL35" s="151"/>
      <c r="EM35" s="151"/>
      <c r="EN35" s="151"/>
      <c r="EO35" s="151"/>
      <c r="EP35" s="151"/>
      <c r="EQ35" s="151"/>
      <c r="ER35" s="151"/>
      <c r="ES35" s="151"/>
      <c r="ET35" s="151"/>
      <c r="EU35" s="151"/>
      <c r="EV35" s="151"/>
      <c r="EW35" s="151"/>
      <c r="EX35" s="151"/>
      <c r="EY35" s="151"/>
      <c r="EZ35" s="151"/>
      <c r="FA35" s="151"/>
      <c r="FB35" s="151"/>
      <c r="FC35" s="151"/>
      <c r="FD35" s="151"/>
      <c r="FE35" s="151"/>
      <c r="FF35" s="151"/>
      <c r="FG35" s="151"/>
      <c r="FH35" s="151"/>
      <c r="FI35" s="151"/>
      <c r="FJ35" s="151"/>
      <c r="FK35" s="151"/>
      <c r="FL35" s="151"/>
      <c r="FM35" s="151"/>
      <c r="FN35" s="151"/>
      <c r="FO35" s="151"/>
      <c r="FP35" s="151"/>
      <c r="FQ35" s="151"/>
      <c r="FR35" s="151"/>
      <c r="FS35" s="151"/>
      <c r="FT35" s="151"/>
      <c r="FU35" s="151"/>
      <c r="FV35" s="151"/>
      <c r="FW35" s="151"/>
      <c r="FX35" s="151"/>
      <c r="FY35" s="151"/>
      <c r="FZ35" s="151"/>
      <c r="GA35" s="151"/>
      <c r="GB35" s="151"/>
      <c r="GC35" s="151"/>
      <c r="GD35" s="151"/>
      <c r="GE35" s="151"/>
      <c r="GF35" s="151"/>
      <c r="GG35" s="151"/>
      <c r="GH35" s="151"/>
      <c r="GI35" s="151"/>
      <c r="GJ35" s="151"/>
      <c r="GK35" s="151"/>
      <c r="GL35" s="151"/>
      <c r="GM35" s="151"/>
      <c r="GN35" s="151"/>
      <c r="GO35" s="151"/>
      <c r="GP35" s="151"/>
      <c r="GQ35" s="151"/>
      <c r="GR35" s="151"/>
      <c r="GS35" s="151"/>
      <c r="GT35" s="151"/>
      <c r="GU35" s="151"/>
      <c r="GV35" s="151"/>
      <c r="GW35" s="151"/>
      <c r="GX35" s="151"/>
      <c r="GY35" s="151"/>
      <c r="GZ35" s="151"/>
      <c r="HA35" s="151"/>
      <c r="HB35" s="151"/>
      <c r="HC35" s="151"/>
      <c r="HD35" s="151"/>
      <c r="HE35" s="151"/>
      <c r="HF35" s="151"/>
      <c r="HG35" s="151"/>
      <c r="HH35" s="151"/>
      <c r="HI35" s="151"/>
      <c r="HJ35" s="151"/>
      <c r="HK35" s="151"/>
      <c r="HL35" s="151"/>
      <c r="HM35" s="151"/>
      <c r="HN35" s="151"/>
      <c r="HO35" s="151"/>
      <c r="HP35" s="151"/>
      <c r="HQ35" s="151"/>
      <c r="HR35" s="151"/>
      <c r="HS35" s="151"/>
      <c r="HT35" s="151"/>
      <c r="HU35" s="151"/>
      <c r="HV35" s="151"/>
      <c r="HW35" s="151"/>
      <c r="HX35" s="151"/>
      <c r="HY35" s="151"/>
      <c r="HZ35" s="151"/>
      <c r="IA35" s="151"/>
      <c r="IB35" s="151"/>
      <c r="IC35" s="151"/>
      <c r="ID35" s="151"/>
      <c r="IE35" s="151"/>
      <c r="IF35" s="151"/>
      <c r="IG35" s="151"/>
      <c r="IH35" s="151"/>
      <c r="II35" s="151"/>
      <c r="IJ35" s="151"/>
      <c r="IK35" s="151"/>
      <c r="IL35" s="151"/>
      <c r="IM35" s="151"/>
      <c r="IN35" s="151"/>
      <c r="IO35" s="151"/>
      <c r="IP35" s="151"/>
      <c r="IQ35" s="151"/>
      <c r="IR35" s="151"/>
      <c r="IS35" s="151"/>
      <c r="IT35" s="151"/>
      <c r="IU35" s="151"/>
      <c r="IV35" s="151"/>
      <c r="IW35" s="151"/>
      <c r="IX35" s="151"/>
      <c r="IY35" s="151"/>
      <c r="IZ35" s="151"/>
      <c r="JA35" s="151"/>
      <c r="JB35" s="151"/>
      <c r="JC35" s="151"/>
      <c r="JD35" s="151"/>
      <c r="JE35" s="151"/>
      <c r="JF35" s="151"/>
      <c r="JG35" s="151"/>
      <c r="JH35" s="151"/>
    </row>
    <row r="36" spans="1:268" s="160" customFormat="1">
      <c r="A36" s="165" t="s">
        <v>1439</v>
      </c>
      <c r="B36" s="241"/>
      <c r="C36" s="264"/>
      <c r="D36" s="266"/>
      <c r="E36" s="266"/>
      <c r="F36" s="266"/>
      <c r="G36" s="265"/>
      <c r="H36" s="241"/>
      <c r="I36" s="264"/>
      <c r="J36" s="241"/>
      <c r="K36" s="241"/>
      <c r="L36" s="241"/>
      <c r="M36" s="241"/>
      <c r="N36" s="241"/>
      <c r="O36" s="241"/>
      <c r="P36" s="241"/>
      <c r="Q36" s="265"/>
      <c r="R36" s="165"/>
      <c r="S36" s="241"/>
      <c r="T36" s="262"/>
      <c r="U36" s="154"/>
      <c r="V36" s="164"/>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1"/>
      <c r="BY36" s="151"/>
      <c r="BZ36" s="151"/>
      <c r="CA36" s="151"/>
      <c r="CB36" s="151"/>
      <c r="CC36" s="151"/>
      <c r="CD36" s="151"/>
      <c r="CE36" s="151"/>
      <c r="CF36" s="151"/>
      <c r="CG36" s="151"/>
      <c r="CH36" s="151"/>
      <c r="CI36" s="151"/>
      <c r="CJ36" s="151"/>
      <c r="CK36" s="151"/>
      <c r="CL36" s="151"/>
      <c r="CM36" s="151"/>
      <c r="CN36" s="151"/>
      <c r="CO36" s="151"/>
      <c r="CP36" s="151"/>
      <c r="CQ36" s="151"/>
      <c r="CR36" s="151"/>
      <c r="CS36" s="151"/>
      <c r="CT36" s="151"/>
      <c r="CU36" s="151"/>
      <c r="CV36" s="151"/>
      <c r="CW36" s="151"/>
      <c r="CX36" s="151"/>
      <c r="CY36" s="151"/>
      <c r="CZ36" s="151"/>
      <c r="DA36" s="151"/>
      <c r="DB36" s="151"/>
      <c r="DC36" s="151"/>
      <c r="DD36" s="151"/>
      <c r="DE36" s="151"/>
      <c r="DF36" s="151"/>
      <c r="DG36" s="151"/>
      <c r="DH36" s="151"/>
      <c r="DI36" s="151"/>
      <c r="DJ36" s="151"/>
      <c r="DK36" s="151"/>
      <c r="DL36" s="151"/>
      <c r="DM36" s="151"/>
      <c r="DN36" s="151"/>
      <c r="DO36" s="151"/>
      <c r="DP36" s="151"/>
      <c r="DQ36" s="151"/>
      <c r="DR36" s="151"/>
      <c r="DS36" s="151"/>
      <c r="DT36" s="151"/>
      <c r="DU36" s="151"/>
      <c r="DV36" s="151"/>
      <c r="DW36" s="151"/>
      <c r="DX36" s="151"/>
      <c r="DY36" s="151"/>
      <c r="DZ36" s="151"/>
      <c r="EA36" s="151"/>
      <c r="EB36" s="151"/>
      <c r="EC36" s="151"/>
      <c r="ED36" s="151"/>
      <c r="EE36" s="151"/>
      <c r="EF36" s="151"/>
      <c r="EG36" s="151"/>
      <c r="EH36" s="151"/>
      <c r="EI36" s="151"/>
      <c r="EJ36" s="151"/>
      <c r="EK36" s="151"/>
      <c r="EL36" s="151"/>
      <c r="EM36" s="151"/>
      <c r="EN36" s="151"/>
      <c r="EO36" s="151"/>
      <c r="EP36" s="151"/>
      <c r="EQ36" s="151"/>
      <c r="ER36" s="151"/>
      <c r="ES36" s="151"/>
      <c r="ET36" s="151"/>
      <c r="EU36" s="151"/>
      <c r="EV36" s="151"/>
      <c r="EW36" s="151"/>
      <c r="EX36" s="151"/>
      <c r="EY36" s="151"/>
      <c r="EZ36" s="151"/>
      <c r="FA36" s="151"/>
      <c r="FB36" s="151"/>
      <c r="FC36" s="151"/>
      <c r="FD36" s="151"/>
      <c r="FE36" s="151"/>
      <c r="FF36" s="151"/>
      <c r="FG36" s="151"/>
      <c r="FH36" s="151"/>
      <c r="FI36" s="151"/>
      <c r="FJ36" s="151"/>
      <c r="FK36" s="151"/>
      <c r="FL36" s="151"/>
      <c r="FM36" s="151"/>
      <c r="FN36" s="151"/>
      <c r="FO36" s="151"/>
      <c r="FP36" s="151"/>
      <c r="FQ36" s="151"/>
      <c r="FR36" s="151"/>
      <c r="FS36" s="151"/>
      <c r="FT36" s="151"/>
      <c r="FU36" s="151"/>
      <c r="FV36" s="151"/>
      <c r="FW36" s="151"/>
      <c r="FX36" s="151"/>
      <c r="FY36" s="151"/>
      <c r="FZ36" s="151"/>
      <c r="GA36" s="151"/>
      <c r="GB36" s="151"/>
      <c r="GC36" s="151"/>
      <c r="GD36" s="151"/>
      <c r="GE36" s="151"/>
      <c r="GF36" s="151"/>
      <c r="GG36" s="151"/>
      <c r="GH36" s="151"/>
      <c r="GI36" s="151"/>
      <c r="GJ36" s="151"/>
      <c r="GK36" s="151"/>
      <c r="GL36" s="151"/>
      <c r="GM36" s="151"/>
      <c r="GN36" s="151"/>
      <c r="GO36" s="151"/>
      <c r="GP36" s="151"/>
      <c r="GQ36" s="151"/>
      <c r="GR36" s="151"/>
      <c r="GS36" s="151"/>
      <c r="GT36" s="151"/>
      <c r="GU36" s="151"/>
      <c r="GV36" s="151"/>
      <c r="GW36" s="151"/>
      <c r="GX36" s="151"/>
      <c r="GY36" s="151"/>
      <c r="GZ36" s="151"/>
      <c r="HA36" s="151"/>
      <c r="HB36" s="151"/>
      <c r="HC36" s="151"/>
      <c r="HD36" s="151"/>
      <c r="HE36" s="151"/>
      <c r="HF36" s="151"/>
      <c r="HG36" s="151"/>
      <c r="HH36" s="151"/>
      <c r="HI36" s="151"/>
      <c r="HJ36" s="151"/>
      <c r="HK36" s="151"/>
      <c r="HL36" s="151"/>
      <c r="HM36" s="151"/>
      <c r="HN36" s="151"/>
      <c r="HO36" s="151"/>
      <c r="HP36" s="151"/>
      <c r="HQ36" s="151"/>
      <c r="HR36" s="151"/>
      <c r="HS36" s="151"/>
      <c r="HT36" s="151"/>
      <c r="HU36" s="151"/>
      <c r="HV36" s="151"/>
      <c r="HW36" s="151"/>
      <c r="HX36" s="151"/>
      <c r="HY36" s="151"/>
      <c r="HZ36" s="151"/>
      <c r="IA36" s="151"/>
      <c r="IB36" s="151"/>
      <c r="IC36" s="151"/>
      <c r="ID36" s="151"/>
      <c r="IE36" s="151"/>
      <c r="IF36" s="151"/>
      <c r="IG36" s="151"/>
      <c r="IH36" s="151"/>
      <c r="II36" s="151"/>
      <c r="IJ36" s="151"/>
      <c r="IK36" s="151"/>
      <c r="IL36" s="151"/>
      <c r="IM36" s="151"/>
      <c r="IN36" s="151"/>
      <c r="IO36" s="151"/>
      <c r="IP36" s="151"/>
      <c r="IQ36" s="151"/>
      <c r="IR36" s="151"/>
      <c r="IS36" s="151"/>
      <c r="IT36" s="151"/>
      <c r="IU36" s="151"/>
      <c r="IV36" s="151"/>
      <c r="IW36" s="151"/>
      <c r="IX36" s="151"/>
      <c r="IY36" s="151"/>
      <c r="IZ36" s="151"/>
      <c r="JA36" s="151"/>
      <c r="JB36" s="151"/>
      <c r="JC36" s="151"/>
      <c r="JD36" s="151"/>
      <c r="JE36" s="151"/>
      <c r="JF36" s="151"/>
      <c r="JG36" s="151"/>
      <c r="JH36" s="151"/>
    </row>
    <row r="37" spans="1:268" s="155" customFormat="1">
      <c r="A37" s="237" t="s">
        <v>909</v>
      </c>
      <c r="B37" s="229">
        <v>0</v>
      </c>
      <c r="C37" s="257">
        <v>0</v>
      </c>
      <c r="D37" s="258">
        <v>0</v>
      </c>
      <c r="E37" s="258">
        <v>0</v>
      </c>
      <c r="F37" s="258">
        <v>0</v>
      </c>
      <c r="G37" s="233">
        <f t="shared" ref="G37:G54" si="2">SUM(C37:F37)</f>
        <v>0</v>
      </c>
      <c r="H37" s="277" t="s">
        <v>1440</v>
      </c>
      <c r="I37" s="264"/>
      <c r="J37" s="229"/>
      <c r="K37" s="229"/>
      <c r="L37" s="229"/>
      <c r="M37" s="229"/>
      <c r="N37" s="229"/>
      <c r="O37" s="229"/>
      <c r="P37" s="229"/>
      <c r="Q37" s="239"/>
      <c r="R37" s="165" t="s">
        <v>910</v>
      </c>
      <c r="V37" s="269"/>
    </row>
    <row r="38" spans="1:268" s="160" customFormat="1">
      <c r="A38" s="237" t="s">
        <v>1446</v>
      </c>
      <c r="B38" s="267">
        <v>4188.5</v>
      </c>
      <c r="C38" s="257">
        <f>(B38*C115)</f>
        <v>597.44445283374739</v>
      </c>
      <c r="D38" s="258">
        <f>($B38*$D$115)</f>
        <v>142.78845302632405</v>
      </c>
      <c r="E38" s="258">
        <f>($B38*$E$115)</f>
        <v>224.1101010763004</v>
      </c>
      <c r="F38" s="258">
        <f>($B38*$F$115)+1096.33</f>
        <v>4320.4869930636287</v>
      </c>
      <c r="G38" s="233">
        <f t="shared" ref="G38:G43" si="3">SUM(C38:F38)</f>
        <v>5284.8300000000008</v>
      </c>
      <c r="H38" s="277" t="s">
        <v>1445</v>
      </c>
      <c r="I38" s="270"/>
      <c r="J38" s="271"/>
      <c r="K38" s="229"/>
      <c r="L38" s="229"/>
      <c r="M38" s="229"/>
      <c r="N38" s="229"/>
      <c r="O38" s="229"/>
      <c r="P38" s="229"/>
      <c r="Q38" s="272"/>
      <c r="R38" s="273" t="s">
        <v>1447</v>
      </c>
      <c r="S38" s="155"/>
      <c r="T38" s="154"/>
      <c r="U38" s="155"/>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1"/>
      <c r="BX38" s="151"/>
      <c r="BY38" s="151"/>
      <c r="BZ38" s="151"/>
      <c r="CA38" s="151"/>
      <c r="CB38" s="151"/>
      <c r="CC38" s="151"/>
      <c r="CD38" s="151"/>
      <c r="CE38" s="151"/>
      <c r="CF38" s="151"/>
      <c r="CG38" s="151"/>
      <c r="CH38" s="151"/>
      <c r="CI38" s="151"/>
      <c r="CJ38" s="151"/>
      <c r="CK38" s="151"/>
      <c r="CL38" s="151"/>
      <c r="CM38" s="151"/>
      <c r="CN38" s="151"/>
      <c r="CO38" s="151"/>
      <c r="CP38" s="151"/>
      <c r="CQ38" s="151"/>
      <c r="CR38" s="151"/>
      <c r="CS38" s="151"/>
      <c r="CT38" s="151"/>
      <c r="CU38" s="151"/>
      <c r="CV38" s="151"/>
      <c r="CW38" s="151"/>
      <c r="CX38" s="151"/>
      <c r="CY38" s="151"/>
      <c r="CZ38" s="151"/>
      <c r="DA38" s="151"/>
      <c r="DB38" s="151"/>
      <c r="DC38" s="151"/>
      <c r="DD38" s="151"/>
      <c r="DE38" s="151"/>
      <c r="DF38" s="151"/>
      <c r="DG38" s="151"/>
      <c r="DH38" s="151"/>
      <c r="DI38" s="151"/>
      <c r="DJ38" s="151"/>
      <c r="DK38" s="151"/>
      <c r="DL38" s="151"/>
      <c r="DM38" s="151"/>
      <c r="DN38" s="151"/>
      <c r="DO38" s="151"/>
      <c r="DP38" s="151"/>
      <c r="DQ38" s="151"/>
      <c r="DR38" s="151"/>
      <c r="DS38" s="151"/>
      <c r="DT38" s="151"/>
      <c r="DU38" s="151"/>
      <c r="DV38" s="151"/>
      <c r="DW38" s="151"/>
      <c r="DX38" s="151"/>
      <c r="DY38" s="151"/>
      <c r="DZ38" s="151"/>
      <c r="EA38" s="151"/>
      <c r="EB38" s="151"/>
      <c r="EC38" s="151"/>
      <c r="ED38" s="151"/>
      <c r="EE38" s="151"/>
      <c r="EF38" s="151"/>
      <c r="EG38" s="151"/>
      <c r="EH38" s="151"/>
      <c r="EI38" s="151"/>
      <c r="EJ38" s="151"/>
      <c r="EK38" s="151"/>
      <c r="EL38" s="151"/>
      <c r="EM38" s="151"/>
      <c r="EN38" s="151"/>
      <c r="EO38" s="151"/>
      <c r="EP38" s="151"/>
      <c r="EQ38" s="151"/>
      <c r="ER38" s="151"/>
      <c r="ES38" s="151"/>
      <c r="ET38" s="151"/>
      <c r="EU38" s="151"/>
      <c r="EV38" s="151"/>
      <c r="EW38" s="151"/>
      <c r="EX38" s="151"/>
      <c r="EY38" s="151"/>
      <c r="EZ38" s="151"/>
      <c r="FA38" s="151"/>
      <c r="FB38" s="151"/>
      <c r="FC38" s="151"/>
      <c r="FD38" s="151"/>
      <c r="FE38" s="151"/>
      <c r="FF38" s="151"/>
      <c r="FG38" s="151"/>
      <c r="FH38" s="151"/>
      <c r="FI38" s="151"/>
      <c r="FJ38" s="151"/>
      <c r="FK38" s="151"/>
      <c r="FL38" s="151"/>
      <c r="FM38" s="151"/>
      <c r="FN38" s="151"/>
      <c r="FO38" s="151"/>
      <c r="FP38" s="151"/>
      <c r="FQ38" s="151"/>
      <c r="FR38" s="151"/>
      <c r="FS38" s="151"/>
      <c r="FT38" s="151"/>
      <c r="FU38" s="151"/>
      <c r="FV38" s="151"/>
      <c r="FW38" s="151"/>
      <c r="FX38" s="151"/>
      <c r="FY38" s="151"/>
      <c r="FZ38" s="151"/>
      <c r="GA38" s="151"/>
      <c r="GB38" s="151"/>
      <c r="GC38" s="151"/>
      <c r="GD38" s="151"/>
      <c r="GE38" s="151"/>
      <c r="GF38" s="151"/>
      <c r="GG38" s="151"/>
      <c r="GH38" s="151"/>
      <c r="GI38" s="151"/>
      <c r="GJ38" s="151"/>
      <c r="GK38" s="151"/>
      <c r="GL38" s="151"/>
      <c r="GM38" s="151"/>
      <c r="GN38" s="151"/>
      <c r="GO38" s="151"/>
      <c r="GP38" s="151"/>
      <c r="GQ38" s="151"/>
      <c r="GR38" s="151"/>
      <c r="GS38" s="151"/>
      <c r="GT38" s="151"/>
      <c r="GU38" s="151"/>
      <c r="GV38" s="151"/>
      <c r="GW38" s="151"/>
      <c r="GX38" s="151"/>
      <c r="GY38" s="151"/>
      <c r="GZ38" s="151"/>
      <c r="HA38" s="151"/>
      <c r="HB38" s="151"/>
      <c r="HC38" s="151"/>
      <c r="HD38" s="151"/>
      <c r="HE38" s="151"/>
      <c r="HF38" s="151"/>
      <c r="HG38" s="151"/>
      <c r="HH38" s="151"/>
      <c r="HI38" s="151"/>
      <c r="HJ38" s="151"/>
      <c r="HK38" s="151"/>
      <c r="HL38" s="151"/>
      <c r="HM38" s="151"/>
      <c r="HN38" s="151"/>
      <c r="HO38" s="151"/>
      <c r="HP38" s="151"/>
      <c r="HQ38" s="151"/>
      <c r="HR38" s="151"/>
      <c r="HS38" s="151"/>
      <c r="HT38" s="151"/>
      <c r="HU38" s="151"/>
      <c r="HV38" s="151"/>
      <c r="HW38" s="151"/>
      <c r="HX38" s="151"/>
      <c r="HY38" s="151"/>
      <c r="HZ38" s="151"/>
      <c r="IA38" s="151"/>
      <c r="IB38" s="151"/>
      <c r="IC38" s="151"/>
      <c r="ID38" s="151"/>
      <c r="IE38" s="151"/>
      <c r="IF38" s="151"/>
      <c r="IG38" s="151"/>
      <c r="IH38" s="151"/>
      <c r="II38" s="151"/>
      <c r="IJ38" s="151"/>
      <c r="IK38" s="151"/>
      <c r="IL38" s="151"/>
      <c r="IM38" s="151"/>
      <c r="IN38" s="151"/>
      <c r="IO38" s="151"/>
      <c r="IP38" s="151"/>
      <c r="IQ38" s="151"/>
      <c r="IR38" s="151"/>
      <c r="IS38" s="151"/>
      <c r="IT38" s="151"/>
      <c r="IU38" s="151"/>
      <c r="IV38" s="151"/>
      <c r="IW38" s="151"/>
      <c r="IX38" s="151"/>
      <c r="IY38" s="151"/>
      <c r="IZ38" s="151"/>
      <c r="JA38" s="151"/>
      <c r="JB38" s="151"/>
      <c r="JC38" s="151"/>
      <c r="JD38" s="151"/>
      <c r="JE38" s="151"/>
      <c r="JF38" s="151"/>
      <c r="JG38" s="151"/>
    </row>
    <row r="39" spans="1:268" s="160" customFormat="1">
      <c r="A39" s="237" t="s">
        <v>898</v>
      </c>
      <c r="B39" s="267">
        <v>27769.87</v>
      </c>
      <c r="C39" s="257">
        <f>($B$39/29)*15</f>
        <v>14363.725862068964</v>
      </c>
      <c r="D39" s="258">
        <f>($B$39/29)*2</f>
        <v>1915.163448275862</v>
      </c>
      <c r="E39" s="258">
        <v>0</v>
      </c>
      <c r="F39" s="258">
        <f>($B$39/29)*12</f>
        <v>11490.980689655173</v>
      </c>
      <c r="G39" s="233">
        <f t="shared" si="3"/>
        <v>27769.87</v>
      </c>
      <c r="H39" s="277" t="s">
        <v>1445</v>
      </c>
      <c r="I39" s="270"/>
      <c r="J39" s="271"/>
      <c r="K39" s="229"/>
      <c r="L39" s="229"/>
      <c r="M39" s="229"/>
      <c r="N39" s="229"/>
      <c r="O39" s="229"/>
      <c r="P39" s="229"/>
      <c r="Q39" s="272"/>
      <c r="R39" s="273" t="s">
        <v>1448</v>
      </c>
      <c r="S39" s="155"/>
      <c r="T39" s="154"/>
      <c r="U39" s="155"/>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1"/>
      <c r="BR39" s="151"/>
      <c r="BS39" s="151"/>
      <c r="BT39" s="151"/>
      <c r="BU39" s="151"/>
      <c r="BV39" s="151"/>
      <c r="BW39" s="151"/>
      <c r="BX39" s="151"/>
      <c r="BY39" s="151"/>
      <c r="BZ39" s="151"/>
      <c r="CA39" s="151"/>
      <c r="CB39" s="151"/>
      <c r="CC39" s="151"/>
      <c r="CD39" s="151"/>
      <c r="CE39" s="151"/>
      <c r="CF39" s="151"/>
      <c r="CG39" s="151"/>
      <c r="CH39" s="151"/>
      <c r="CI39" s="151"/>
      <c r="CJ39" s="151"/>
      <c r="CK39" s="151"/>
      <c r="CL39" s="151"/>
      <c r="CM39" s="151"/>
      <c r="CN39" s="151"/>
      <c r="CO39" s="151"/>
      <c r="CP39" s="151"/>
      <c r="CQ39" s="151"/>
      <c r="CR39" s="151"/>
      <c r="CS39" s="151"/>
      <c r="CT39" s="151"/>
      <c r="CU39" s="151"/>
      <c r="CV39" s="151"/>
      <c r="CW39" s="151"/>
      <c r="CX39" s="151"/>
      <c r="CY39" s="151"/>
      <c r="CZ39" s="151"/>
      <c r="DA39" s="151"/>
      <c r="DB39" s="151"/>
      <c r="DC39" s="151"/>
      <c r="DD39" s="151"/>
      <c r="DE39" s="151"/>
      <c r="DF39" s="151"/>
      <c r="DG39" s="151"/>
      <c r="DH39" s="151"/>
      <c r="DI39" s="151"/>
      <c r="DJ39" s="151"/>
      <c r="DK39" s="151"/>
      <c r="DL39" s="151"/>
      <c r="DM39" s="151"/>
      <c r="DN39" s="151"/>
      <c r="DO39" s="151"/>
      <c r="DP39" s="151"/>
      <c r="DQ39" s="151"/>
      <c r="DR39" s="151"/>
      <c r="DS39" s="151"/>
      <c r="DT39" s="151"/>
      <c r="DU39" s="151"/>
      <c r="DV39" s="151"/>
      <c r="DW39" s="151"/>
      <c r="DX39" s="151"/>
      <c r="DY39" s="151"/>
      <c r="DZ39" s="151"/>
      <c r="EA39" s="151"/>
      <c r="EB39" s="151"/>
      <c r="EC39" s="151"/>
      <c r="ED39" s="151"/>
      <c r="EE39" s="151"/>
      <c r="EF39" s="151"/>
      <c r="EG39" s="151"/>
      <c r="EH39" s="151"/>
      <c r="EI39" s="151"/>
      <c r="EJ39" s="151"/>
      <c r="EK39" s="151"/>
      <c r="EL39" s="151"/>
      <c r="EM39" s="151"/>
      <c r="EN39" s="151"/>
      <c r="EO39" s="151"/>
      <c r="EP39" s="151"/>
      <c r="EQ39" s="151"/>
      <c r="ER39" s="151"/>
      <c r="ES39" s="151"/>
      <c r="ET39" s="151"/>
      <c r="EU39" s="151"/>
      <c r="EV39" s="151"/>
      <c r="EW39" s="151"/>
      <c r="EX39" s="151"/>
      <c r="EY39" s="151"/>
      <c r="EZ39" s="151"/>
      <c r="FA39" s="151"/>
      <c r="FB39" s="151"/>
      <c r="FC39" s="151"/>
      <c r="FD39" s="151"/>
      <c r="FE39" s="151"/>
      <c r="FF39" s="151"/>
      <c r="FG39" s="151"/>
      <c r="FH39" s="151"/>
      <c r="FI39" s="151"/>
      <c r="FJ39" s="151"/>
      <c r="FK39" s="151"/>
      <c r="FL39" s="151"/>
      <c r="FM39" s="151"/>
      <c r="FN39" s="151"/>
      <c r="FO39" s="151"/>
      <c r="FP39" s="151"/>
      <c r="FQ39" s="151"/>
      <c r="FR39" s="151"/>
      <c r="FS39" s="151"/>
      <c r="FT39" s="151"/>
      <c r="FU39" s="151"/>
      <c r="FV39" s="151"/>
      <c r="FW39" s="151"/>
      <c r="FX39" s="151"/>
      <c r="FY39" s="151"/>
      <c r="FZ39" s="151"/>
      <c r="GA39" s="151"/>
      <c r="GB39" s="151"/>
      <c r="GC39" s="151"/>
      <c r="GD39" s="151"/>
      <c r="GE39" s="151"/>
      <c r="GF39" s="151"/>
      <c r="GG39" s="151"/>
      <c r="GH39" s="151"/>
      <c r="GI39" s="151"/>
      <c r="GJ39" s="151"/>
      <c r="GK39" s="151"/>
      <c r="GL39" s="151"/>
      <c r="GM39" s="151"/>
      <c r="GN39" s="151"/>
      <c r="GO39" s="151"/>
      <c r="GP39" s="151"/>
      <c r="GQ39" s="151"/>
      <c r="GR39" s="151"/>
      <c r="GS39" s="151"/>
      <c r="GT39" s="151"/>
      <c r="GU39" s="151"/>
      <c r="GV39" s="151"/>
      <c r="GW39" s="151"/>
      <c r="GX39" s="151"/>
      <c r="GY39" s="151"/>
      <c r="GZ39" s="151"/>
      <c r="HA39" s="151"/>
      <c r="HB39" s="151"/>
      <c r="HC39" s="151"/>
      <c r="HD39" s="151"/>
      <c r="HE39" s="151"/>
      <c r="HF39" s="151"/>
      <c r="HG39" s="151"/>
      <c r="HH39" s="151"/>
      <c r="HI39" s="151"/>
      <c r="HJ39" s="151"/>
      <c r="HK39" s="151"/>
      <c r="HL39" s="151"/>
      <c r="HM39" s="151"/>
      <c r="HN39" s="151"/>
      <c r="HO39" s="151"/>
      <c r="HP39" s="151"/>
      <c r="HQ39" s="151"/>
      <c r="HR39" s="151"/>
      <c r="HS39" s="151"/>
      <c r="HT39" s="151"/>
      <c r="HU39" s="151"/>
      <c r="HV39" s="151"/>
      <c r="HW39" s="151"/>
      <c r="HX39" s="151"/>
      <c r="HY39" s="151"/>
      <c r="HZ39" s="151"/>
      <c r="IA39" s="151"/>
      <c r="IB39" s="151"/>
      <c r="IC39" s="151"/>
      <c r="ID39" s="151"/>
      <c r="IE39" s="151"/>
      <c r="IF39" s="151"/>
      <c r="IG39" s="151"/>
      <c r="IH39" s="151"/>
      <c r="II39" s="151"/>
      <c r="IJ39" s="151"/>
      <c r="IK39" s="151"/>
      <c r="IL39" s="151"/>
      <c r="IM39" s="151"/>
      <c r="IN39" s="151"/>
      <c r="IO39" s="151"/>
      <c r="IP39" s="151"/>
      <c r="IQ39" s="151"/>
      <c r="IR39" s="151"/>
      <c r="IS39" s="151"/>
      <c r="IT39" s="151"/>
      <c r="IU39" s="151"/>
      <c r="IV39" s="151"/>
      <c r="IW39" s="151"/>
      <c r="IX39" s="151"/>
      <c r="IY39" s="151"/>
      <c r="IZ39" s="151"/>
      <c r="JA39" s="151"/>
      <c r="JB39" s="151"/>
      <c r="JC39" s="151"/>
      <c r="JD39" s="151"/>
      <c r="JE39" s="151"/>
      <c r="JF39" s="151"/>
      <c r="JG39" s="151"/>
    </row>
    <row r="40" spans="1:268" s="160" customFormat="1">
      <c r="A40" s="237" t="s">
        <v>1449</v>
      </c>
      <c r="B40" s="267">
        <v>69659</v>
      </c>
      <c r="C40" s="257">
        <f>$B40*$C$115-2.74</f>
        <v>9933.3667541950599</v>
      </c>
      <c r="D40" s="258">
        <f>$B40*$D$115+0.65</f>
        <v>2375.3666883993569</v>
      </c>
      <c r="E40" s="258">
        <f>$B40*$E$115-0.42</f>
        <v>3726.7581140919201</v>
      </c>
      <c r="F40" s="258">
        <f>$B40*$F$115+2.51</f>
        <v>53623.508443313665</v>
      </c>
      <c r="G40" s="233">
        <f t="shared" si="3"/>
        <v>69659</v>
      </c>
      <c r="H40" s="277" t="s">
        <v>1440</v>
      </c>
      <c r="I40" s="270"/>
      <c r="J40" s="271"/>
      <c r="K40" s="229"/>
      <c r="L40" s="229"/>
      <c r="M40" s="229"/>
      <c r="N40" s="229"/>
      <c r="O40" s="229"/>
      <c r="P40" s="229"/>
      <c r="Q40" s="272"/>
      <c r="R40" s="273"/>
      <c r="S40" s="155"/>
      <c r="T40" s="154"/>
      <c r="U40" s="155"/>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51"/>
      <c r="BY40" s="151"/>
      <c r="BZ40" s="151"/>
      <c r="CA40" s="151"/>
      <c r="CB40" s="151"/>
      <c r="CC40" s="151"/>
      <c r="CD40" s="151"/>
      <c r="CE40" s="151"/>
      <c r="CF40" s="151"/>
      <c r="CG40" s="151"/>
      <c r="CH40" s="151"/>
      <c r="CI40" s="151"/>
      <c r="CJ40" s="151"/>
      <c r="CK40" s="151"/>
      <c r="CL40" s="151"/>
      <c r="CM40" s="151"/>
      <c r="CN40" s="151"/>
      <c r="CO40" s="151"/>
      <c r="CP40" s="151"/>
      <c r="CQ40" s="151"/>
      <c r="CR40" s="151"/>
      <c r="CS40" s="151"/>
      <c r="CT40" s="151"/>
      <c r="CU40" s="151"/>
      <c r="CV40" s="151"/>
      <c r="CW40" s="151"/>
      <c r="CX40" s="151"/>
      <c r="CY40" s="151"/>
      <c r="CZ40" s="151"/>
      <c r="DA40" s="151"/>
      <c r="DB40" s="151"/>
      <c r="DC40" s="151"/>
      <c r="DD40" s="151"/>
      <c r="DE40" s="151"/>
      <c r="DF40" s="151"/>
      <c r="DG40" s="151"/>
      <c r="DH40" s="151"/>
      <c r="DI40" s="151"/>
      <c r="DJ40" s="151"/>
      <c r="DK40" s="151"/>
      <c r="DL40" s="151"/>
      <c r="DM40" s="151"/>
      <c r="DN40" s="151"/>
      <c r="DO40" s="151"/>
      <c r="DP40" s="151"/>
      <c r="DQ40" s="151"/>
      <c r="DR40" s="151"/>
      <c r="DS40" s="151"/>
      <c r="DT40" s="151"/>
      <c r="DU40" s="151"/>
      <c r="DV40" s="151"/>
      <c r="DW40" s="151"/>
      <c r="DX40" s="151"/>
      <c r="DY40" s="151"/>
      <c r="DZ40" s="151"/>
      <c r="EA40" s="151"/>
      <c r="EB40" s="151"/>
      <c r="EC40" s="151"/>
      <c r="ED40" s="151"/>
      <c r="EE40" s="151"/>
      <c r="EF40" s="151"/>
      <c r="EG40" s="151"/>
      <c r="EH40" s="151"/>
      <c r="EI40" s="151"/>
      <c r="EJ40" s="151"/>
      <c r="EK40" s="151"/>
      <c r="EL40" s="151"/>
      <c r="EM40" s="151"/>
      <c r="EN40" s="151"/>
      <c r="EO40" s="151"/>
      <c r="EP40" s="151"/>
      <c r="EQ40" s="151"/>
      <c r="ER40" s="151"/>
      <c r="ES40" s="151"/>
      <c r="ET40" s="151"/>
      <c r="EU40" s="151"/>
      <c r="EV40" s="151"/>
      <c r="EW40" s="151"/>
      <c r="EX40" s="151"/>
      <c r="EY40" s="151"/>
      <c r="EZ40" s="151"/>
      <c r="FA40" s="151"/>
      <c r="FB40" s="151"/>
      <c r="FC40" s="151"/>
      <c r="FD40" s="151"/>
      <c r="FE40" s="151"/>
      <c r="FF40" s="151"/>
      <c r="FG40" s="151"/>
      <c r="FH40" s="151"/>
      <c r="FI40" s="151"/>
      <c r="FJ40" s="151"/>
      <c r="FK40" s="151"/>
      <c r="FL40" s="151"/>
      <c r="FM40" s="151"/>
      <c r="FN40" s="151"/>
      <c r="FO40" s="151"/>
      <c r="FP40" s="151"/>
      <c r="FQ40" s="151"/>
      <c r="FR40" s="151"/>
      <c r="FS40" s="151"/>
      <c r="FT40" s="151"/>
      <c r="FU40" s="151"/>
      <c r="FV40" s="151"/>
      <c r="FW40" s="151"/>
      <c r="FX40" s="151"/>
      <c r="FY40" s="151"/>
      <c r="FZ40" s="151"/>
      <c r="GA40" s="151"/>
      <c r="GB40" s="151"/>
      <c r="GC40" s="151"/>
      <c r="GD40" s="151"/>
      <c r="GE40" s="151"/>
      <c r="GF40" s="151"/>
      <c r="GG40" s="151"/>
      <c r="GH40" s="151"/>
      <c r="GI40" s="151"/>
      <c r="GJ40" s="151"/>
      <c r="GK40" s="151"/>
      <c r="GL40" s="151"/>
      <c r="GM40" s="151"/>
      <c r="GN40" s="151"/>
      <c r="GO40" s="151"/>
      <c r="GP40" s="151"/>
      <c r="GQ40" s="151"/>
      <c r="GR40" s="151"/>
      <c r="GS40" s="151"/>
      <c r="GT40" s="151"/>
      <c r="GU40" s="151"/>
      <c r="GV40" s="151"/>
      <c r="GW40" s="151"/>
      <c r="GX40" s="151"/>
      <c r="GY40" s="151"/>
      <c r="GZ40" s="151"/>
      <c r="HA40" s="151"/>
      <c r="HB40" s="151"/>
      <c r="HC40" s="151"/>
      <c r="HD40" s="151"/>
      <c r="HE40" s="151"/>
      <c r="HF40" s="151"/>
      <c r="HG40" s="151"/>
      <c r="HH40" s="151"/>
      <c r="HI40" s="151"/>
      <c r="HJ40" s="151"/>
      <c r="HK40" s="151"/>
      <c r="HL40" s="151"/>
      <c r="HM40" s="151"/>
      <c r="HN40" s="151"/>
      <c r="HO40" s="151"/>
      <c r="HP40" s="151"/>
      <c r="HQ40" s="151"/>
      <c r="HR40" s="151"/>
      <c r="HS40" s="151"/>
      <c r="HT40" s="151"/>
      <c r="HU40" s="151"/>
      <c r="HV40" s="151"/>
      <c r="HW40" s="151"/>
      <c r="HX40" s="151"/>
      <c r="HY40" s="151"/>
      <c r="HZ40" s="151"/>
      <c r="IA40" s="151"/>
      <c r="IB40" s="151"/>
      <c r="IC40" s="151"/>
      <c r="ID40" s="151"/>
      <c r="IE40" s="151"/>
      <c r="IF40" s="151"/>
      <c r="IG40" s="151"/>
      <c r="IH40" s="151"/>
      <c r="II40" s="151"/>
      <c r="IJ40" s="151"/>
      <c r="IK40" s="151"/>
      <c r="IL40" s="151"/>
      <c r="IM40" s="151"/>
      <c r="IN40" s="151"/>
      <c r="IO40" s="151"/>
      <c r="IP40" s="151"/>
      <c r="IQ40" s="151"/>
      <c r="IR40" s="151"/>
      <c r="IS40" s="151"/>
      <c r="IT40" s="151"/>
      <c r="IU40" s="151"/>
      <c r="IV40" s="151"/>
      <c r="IW40" s="151"/>
      <c r="IX40" s="151"/>
      <c r="IY40" s="151"/>
      <c r="IZ40" s="151"/>
      <c r="JA40" s="151"/>
      <c r="JB40" s="151"/>
      <c r="JC40" s="151"/>
      <c r="JD40" s="151"/>
      <c r="JE40" s="151"/>
      <c r="JF40" s="151"/>
      <c r="JG40" s="151"/>
      <c r="JH40" s="151"/>
    </row>
    <row r="41" spans="1:268" s="155" customFormat="1">
      <c r="A41" s="237" t="s">
        <v>1450</v>
      </c>
      <c r="B41" s="267">
        <f>153684.21+15821.05</f>
        <v>169505.25999999998</v>
      </c>
      <c r="C41" s="257"/>
      <c r="D41" s="258"/>
      <c r="E41" s="258"/>
      <c r="F41" s="258">
        <f>B41</f>
        <v>169505.25999999998</v>
      </c>
      <c r="G41" s="233">
        <f t="shared" si="3"/>
        <v>169505.25999999998</v>
      </c>
      <c r="H41" s="277" t="s">
        <v>1440</v>
      </c>
      <c r="I41" s="270"/>
      <c r="J41" s="271"/>
      <c r="K41" s="229"/>
      <c r="L41" s="229"/>
      <c r="M41" s="229"/>
      <c r="N41" s="229"/>
      <c r="O41" s="229"/>
      <c r="P41" s="229"/>
      <c r="Q41" s="272"/>
      <c r="R41" s="273" t="s">
        <v>1451</v>
      </c>
      <c r="T41" s="154"/>
      <c r="V41" s="269"/>
    </row>
    <row r="42" spans="1:268" s="155" customFormat="1">
      <c r="A42" s="274" t="s">
        <v>900</v>
      </c>
      <c r="B42" s="267">
        <f>620.23*9</f>
        <v>5582.07</v>
      </c>
      <c r="C42" s="257">
        <f>$B42*$C$115</f>
        <v>796.22221722088477</v>
      </c>
      <c r="D42" s="258">
        <f>$B42*$D$115</f>
        <v>190.29608212597651</v>
      </c>
      <c r="E42" s="258">
        <f>$B42*$E$115</f>
        <v>298.67453071863054</v>
      </c>
      <c r="F42" s="258">
        <f>$B42*$F$115</f>
        <v>4296.8771699345079</v>
      </c>
      <c r="G42" s="233">
        <f t="shared" si="3"/>
        <v>5582.07</v>
      </c>
      <c r="H42" s="243" t="s">
        <v>899</v>
      </c>
      <c r="I42" s="270"/>
      <c r="J42" s="271"/>
      <c r="K42" s="229"/>
      <c r="L42" s="229"/>
      <c r="M42" s="229"/>
      <c r="N42" s="229"/>
      <c r="O42" s="229"/>
      <c r="P42" s="229"/>
      <c r="Q42" s="272"/>
      <c r="R42" s="275"/>
      <c r="T42" s="154"/>
      <c r="V42" s="269"/>
    </row>
    <row r="43" spans="1:268" s="160" customFormat="1">
      <c r="A43" s="237" t="s">
        <v>901</v>
      </c>
      <c r="B43" s="267">
        <v>4193</v>
      </c>
      <c r="C43" s="257">
        <v>0</v>
      </c>
      <c r="D43" s="258">
        <v>364</v>
      </c>
      <c r="E43" s="258">
        <v>591.5</v>
      </c>
      <c r="F43" s="258">
        <v>3237.5</v>
      </c>
      <c r="G43" s="233">
        <f t="shared" si="3"/>
        <v>4193</v>
      </c>
      <c r="H43" s="243" t="s">
        <v>899</v>
      </c>
      <c r="I43" s="270"/>
      <c r="J43" s="229"/>
      <c r="K43" s="229"/>
      <c r="L43" s="229"/>
      <c r="M43" s="229"/>
      <c r="N43" s="229"/>
      <c r="O43" s="229"/>
      <c r="P43" s="229"/>
      <c r="Q43" s="272"/>
      <c r="R43" s="275"/>
      <c r="T43" s="276"/>
      <c r="U43" s="154"/>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1"/>
      <c r="BR43" s="151"/>
      <c r="BS43" s="151"/>
      <c r="BT43" s="151"/>
      <c r="BU43" s="151"/>
      <c r="BV43" s="151"/>
      <c r="BW43" s="151"/>
      <c r="BX43" s="151"/>
      <c r="BY43" s="151"/>
      <c r="BZ43" s="151"/>
      <c r="CA43" s="151"/>
      <c r="CB43" s="151"/>
      <c r="CC43" s="151"/>
      <c r="CD43" s="151"/>
      <c r="CE43" s="151"/>
      <c r="CF43" s="151"/>
      <c r="CG43" s="151"/>
      <c r="CH43" s="151"/>
      <c r="CI43" s="151"/>
      <c r="CJ43" s="151"/>
      <c r="CK43" s="151"/>
      <c r="CL43" s="151"/>
      <c r="CM43" s="151"/>
      <c r="CN43" s="151"/>
      <c r="CO43" s="151"/>
      <c r="CP43" s="151"/>
      <c r="CQ43" s="151"/>
      <c r="CR43" s="151"/>
      <c r="CS43" s="151"/>
      <c r="CT43" s="151"/>
      <c r="CU43" s="151"/>
      <c r="CV43" s="151"/>
      <c r="CW43" s="151"/>
      <c r="CX43" s="151"/>
      <c r="CY43" s="151"/>
      <c r="CZ43" s="151"/>
      <c r="DA43" s="151"/>
      <c r="DB43" s="151"/>
      <c r="DC43" s="151"/>
      <c r="DD43" s="151"/>
      <c r="DE43" s="151"/>
      <c r="DF43" s="151"/>
      <c r="DG43" s="151"/>
      <c r="DH43" s="151"/>
      <c r="DI43" s="151"/>
      <c r="DJ43" s="151"/>
      <c r="DK43" s="151"/>
      <c r="DL43" s="151"/>
      <c r="DM43" s="151"/>
      <c r="DN43" s="151"/>
      <c r="DO43" s="151"/>
      <c r="DP43" s="151"/>
      <c r="DQ43" s="151"/>
      <c r="DR43" s="151"/>
      <c r="DS43" s="151"/>
      <c r="DT43" s="151"/>
      <c r="DU43" s="151"/>
      <c r="DV43" s="151"/>
      <c r="DW43" s="151"/>
      <c r="DX43" s="151"/>
      <c r="DY43" s="151"/>
      <c r="DZ43" s="151"/>
      <c r="EA43" s="151"/>
      <c r="EB43" s="151"/>
      <c r="EC43" s="151"/>
      <c r="ED43" s="151"/>
      <c r="EE43" s="151"/>
      <c r="EF43" s="151"/>
      <c r="EG43" s="151"/>
      <c r="EH43" s="151"/>
      <c r="EI43" s="151"/>
      <c r="EJ43" s="151"/>
      <c r="EK43" s="151"/>
      <c r="EL43" s="151"/>
      <c r="EM43" s="151"/>
      <c r="EN43" s="151"/>
      <c r="EO43" s="151"/>
      <c r="EP43" s="151"/>
      <c r="EQ43" s="151"/>
      <c r="ER43" s="151"/>
      <c r="ES43" s="151"/>
      <c r="ET43" s="151"/>
      <c r="EU43" s="151"/>
      <c r="EV43" s="151"/>
      <c r="EW43" s="151"/>
      <c r="EX43" s="151"/>
      <c r="EY43" s="151"/>
      <c r="EZ43" s="151"/>
      <c r="FA43" s="151"/>
      <c r="FB43" s="151"/>
      <c r="FC43" s="151"/>
      <c r="FD43" s="151"/>
      <c r="FE43" s="151"/>
      <c r="FF43" s="151"/>
      <c r="FG43" s="151"/>
      <c r="FH43" s="151"/>
      <c r="FI43" s="151"/>
      <c r="FJ43" s="151"/>
      <c r="FK43" s="151"/>
      <c r="FL43" s="151"/>
      <c r="FM43" s="151"/>
      <c r="FN43" s="151"/>
      <c r="FO43" s="151"/>
      <c r="FP43" s="151"/>
      <c r="FQ43" s="151"/>
      <c r="FR43" s="151"/>
      <c r="FS43" s="151"/>
      <c r="FT43" s="151"/>
      <c r="FU43" s="151"/>
      <c r="FV43" s="151"/>
      <c r="FW43" s="151"/>
      <c r="FX43" s="151"/>
      <c r="FY43" s="151"/>
      <c r="FZ43" s="151"/>
      <c r="GA43" s="151"/>
      <c r="GB43" s="151"/>
      <c r="GC43" s="151"/>
      <c r="GD43" s="151"/>
      <c r="GE43" s="151"/>
      <c r="GF43" s="151"/>
      <c r="GG43" s="151"/>
      <c r="GH43" s="151"/>
      <c r="GI43" s="151"/>
      <c r="GJ43" s="151"/>
      <c r="GK43" s="151"/>
      <c r="GL43" s="151"/>
      <c r="GM43" s="151"/>
      <c r="GN43" s="151"/>
      <c r="GO43" s="151"/>
      <c r="GP43" s="151"/>
      <c r="GQ43" s="151"/>
      <c r="GR43" s="151"/>
      <c r="GS43" s="151"/>
      <c r="GT43" s="151"/>
      <c r="GU43" s="151"/>
      <c r="GV43" s="151"/>
      <c r="GW43" s="151"/>
      <c r="GX43" s="151"/>
      <c r="GY43" s="151"/>
      <c r="GZ43" s="151"/>
      <c r="HA43" s="151"/>
      <c r="HB43" s="151"/>
      <c r="HC43" s="151"/>
      <c r="HD43" s="151"/>
      <c r="HE43" s="151"/>
      <c r="HF43" s="151"/>
      <c r="HG43" s="151"/>
      <c r="HH43" s="151"/>
      <c r="HI43" s="151"/>
      <c r="HJ43" s="151"/>
      <c r="HK43" s="151"/>
      <c r="HL43" s="151"/>
      <c r="HM43" s="151"/>
      <c r="HN43" s="151"/>
      <c r="HO43" s="151"/>
      <c r="HP43" s="151"/>
      <c r="HQ43" s="151"/>
      <c r="HR43" s="151"/>
      <c r="HS43" s="151"/>
      <c r="HT43" s="151"/>
      <c r="HU43" s="151"/>
      <c r="HV43" s="151"/>
      <c r="HW43" s="151"/>
      <c r="HX43" s="151"/>
      <c r="HY43" s="151"/>
      <c r="HZ43" s="151"/>
      <c r="IA43" s="151"/>
      <c r="IB43" s="151"/>
      <c r="IC43" s="151"/>
      <c r="ID43" s="151"/>
      <c r="IE43" s="151"/>
      <c r="IF43" s="151"/>
      <c r="IG43" s="151"/>
      <c r="IH43" s="151"/>
      <c r="II43" s="151"/>
      <c r="IJ43" s="151"/>
      <c r="IK43" s="151"/>
      <c r="IL43" s="151"/>
      <c r="IM43" s="151"/>
      <c r="IN43" s="151"/>
      <c r="IO43" s="151"/>
      <c r="IP43" s="151"/>
      <c r="IQ43" s="151"/>
      <c r="IR43" s="151"/>
      <c r="IS43" s="151"/>
      <c r="IT43" s="151"/>
      <c r="IU43" s="151"/>
      <c r="IV43" s="151"/>
      <c r="IW43" s="151"/>
      <c r="IX43" s="151"/>
      <c r="IY43" s="151"/>
      <c r="IZ43" s="151"/>
      <c r="JA43" s="151"/>
      <c r="JB43" s="151"/>
      <c r="JC43" s="151"/>
      <c r="JD43" s="151"/>
      <c r="JE43" s="151"/>
      <c r="JF43" s="151"/>
      <c r="JG43" s="151"/>
    </row>
    <row r="44" spans="1:268" s="160" customFormat="1">
      <c r="A44" s="237" t="s">
        <v>1452</v>
      </c>
      <c r="B44" s="267">
        <v>340388</v>
      </c>
      <c r="C44" s="257">
        <f>$B44*C$115</f>
        <v>48552.685307669475</v>
      </c>
      <c r="D44" s="258">
        <f>$B44*$D$115</f>
        <v>11604.029115130568</v>
      </c>
      <c r="E44" s="258">
        <f>$B44*$E$115</f>
        <v>18212.818213002203</v>
      </c>
      <c r="F44" s="258">
        <f>$B44*$F$115</f>
        <v>262018.46736419774</v>
      </c>
      <c r="G44" s="233">
        <f t="shared" ref="G44:G45" si="4">SUM(C44:F44)</f>
        <v>340388</v>
      </c>
      <c r="H44" s="386" t="s">
        <v>1444</v>
      </c>
      <c r="I44" s="271"/>
      <c r="J44" s="271"/>
      <c r="K44" s="258"/>
      <c r="L44" s="258"/>
      <c r="M44" s="258"/>
      <c r="N44" s="258"/>
      <c r="O44" s="258"/>
      <c r="P44" s="258"/>
      <c r="Q44" s="271"/>
      <c r="R44" s="278"/>
      <c r="S44" s="155"/>
      <c r="T44" s="154"/>
      <c r="U44" s="155"/>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1"/>
      <c r="BR44" s="151"/>
      <c r="BS44" s="151"/>
      <c r="BT44" s="151"/>
      <c r="BU44" s="151"/>
      <c r="BV44" s="151"/>
      <c r="BW44" s="151"/>
      <c r="BX44" s="151"/>
      <c r="BY44" s="151"/>
      <c r="BZ44" s="151"/>
      <c r="CA44" s="151"/>
      <c r="CB44" s="151"/>
      <c r="CC44" s="151"/>
      <c r="CD44" s="151"/>
      <c r="CE44" s="151"/>
      <c r="CF44" s="151"/>
      <c r="CG44" s="151"/>
      <c r="CH44" s="151"/>
      <c r="CI44" s="151"/>
      <c r="CJ44" s="151"/>
      <c r="CK44" s="151"/>
      <c r="CL44" s="151"/>
      <c r="CM44" s="151"/>
      <c r="CN44" s="151"/>
      <c r="CO44" s="151"/>
      <c r="CP44" s="151"/>
      <c r="CQ44" s="151"/>
      <c r="CR44" s="151"/>
      <c r="CS44" s="151"/>
      <c r="CT44" s="151"/>
      <c r="CU44" s="151"/>
      <c r="CV44" s="151"/>
      <c r="CW44" s="151"/>
      <c r="CX44" s="151"/>
      <c r="CY44" s="151"/>
      <c r="CZ44" s="151"/>
      <c r="DA44" s="151"/>
      <c r="DB44" s="151"/>
      <c r="DC44" s="151"/>
      <c r="DD44" s="151"/>
      <c r="DE44" s="151"/>
      <c r="DF44" s="151"/>
      <c r="DG44" s="151"/>
      <c r="DH44" s="151"/>
      <c r="DI44" s="151"/>
      <c r="DJ44" s="151"/>
      <c r="DK44" s="151"/>
      <c r="DL44" s="151"/>
      <c r="DM44" s="151"/>
      <c r="DN44" s="151"/>
      <c r="DO44" s="151"/>
      <c r="DP44" s="151"/>
      <c r="DQ44" s="151"/>
      <c r="DR44" s="151"/>
      <c r="DS44" s="151"/>
      <c r="DT44" s="151"/>
      <c r="DU44" s="151"/>
      <c r="DV44" s="151"/>
      <c r="DW44" s="151"/>
      <c r="DX44" s="151"/>
      <c r="DY44" s="151"/>
      <c r="DZ44" s="151"/>
      <c r="EA44" s="151"/>
      <c r="EB44" s="151"/>
      <c r="EC44" s="151"/>
      <c r="ED44" s="151"/>
      <c r="EE44" s="151"/>
      <c r="EF44" s="151"/>
      <c r="EG44" s="151"/>
      <c r="EH44" s="151"/>
      <c r="EI44" s="151"/>
      <c r="EJ44" s="151"/>
      <c r="EK44" s="151"/>
      <c r="EL44" s="151"/>
      <c r="EM44" s="151"/>
      <c r="EN44" s="151"/>
      <c r="EO44" s="151"/>
      <c r="EP44" s="151"/>
      <c r="EQ44" s="151"/>
      <c r="ER44" s="151"/>
      <c r="ES44" s="151"/>
      <c r="ET44" s="151"/>
      <c r="EU44" s="151"/>
      <c r="EV44" s="151"/>
      <c r="EW44" s="151"/>
      <c r="EX44" s="151"/>
      <c r="EY44" s="151"/>
      <c r="EZ44" s="151"/>
      <c r="FA44" s="151"/>
      <c r="FB44" s="151"/>
      <c r="FC44" s="151"/>
      <c r="FD44" s="151"/>
      <c r="FE44" s="151"/>
      <c r="FF44" s="151"/>
      <c r="FG44" s="151"/>
      <c r="FH44" s="151"/>
      <c r="FI44" s="151"/>
      <c r="FJ44" s="151"/>
      <c r="FK44" s="151"/>
      <c r="FL44" s="151"/>
      <c r="FM44" s="151"/>
      <c r="FN44" s="151"/>
      <c r="FO44" s="151"/>
      <c r="FP44" s="151"/>
      <c r="FQ44" s="151"/>
      <c r="FR44" s="151"/>
      <c r="FS44" s="151"/>
      <c r="FT44" s="151"/>
      <c r="FU44" s="151"/>
      <c r="FV44" s="151"/>
      <c r="FW44" s="151"/>
      <c r="FX44" s="151"/>
      <c r="FY44" s="151"/>
      <c r="FZ44" s="151"/>
      <c r="GA44" s="151"/>
      <c r="GB44" s="151"/>
      <c r="GC44" s="151"/>
      <c r="GD44" s="151"/>
      <c r="GE44" s="151"/>
      <c r="GF44" s="151"/>
      <c r="GG44" s="151"/>
      <c r="GH44" s="151"/>
      <c r="GI44" s="151"/>
      <c r="GJ44" s="151"/>
      <c r="GK44" s="151"/>
      <c r="GL44" s="151"/>
      <c r="GM44" s="151"/>
      <c r="GN44" s="151"/>
      <c r="GO44" s="151"/>
      <c r="GP44" s="151"/>
      <c r="GQ44" s="151"/>
      <c r="GR44" s="151"/>
      <c r="GS44" s="151"/>
      <c r="GT44" s="151"/>
      <c r="GU44" s="151"/>
      <c r="GV44" s="151"/>
      <c r="GW44" s="151"/>
      <c r="GX44" s="151"/>
      <c r="GY44" s="151"/>
      <c r="GZ44" s="151"/>
      <c r="HA44" s="151"/>
      <c r="HB44" s="151"/>
      <c r="HC44" s="151"/>
      <c r="HD44" s="151"/>
      <c r="HE44" s="151"/>
      <c r="HF44" s="151"/>
      <c r="HG44" s="151"/>
      <c r="HH44" s="151"/>
      <c r="HI44" s="151"/>
      <c r="HJ44" s="151"/>
      <c r="HK44" s="151"/>
      <c r="HL44" s="151"/>
      <c r="HM44" s="151"/>
      <c r="HN44" s="151"/>
      <c r="HO44" s="151"/>
      <c r="HP44" s="151"/>
      <c r="HQ44" s="151"/>
      <c r="HR44" s="151"/>
      <c r="HS44" s="151"/>
      <c r="HT44" s="151"/>
      <c r="HU44" s="151"/>
      <c r="HV44" s="151"/>
      <c r="HW44" s="151"/>
      <c r="HX44" s="151"/>
      <c r="HY44" s="151"/>
      <c r="HZ44" s="151"/>
      <c r="IA44" s="151"/>
      <c r="IB44" s="151"/>
      <c r="IC44" s="151"/>
      <c r="ID44" s="151"/>
      <c r="IE44" s="151"/>
      <c r="IF44" s="151"/>
      <c r="IG44" s="151"/>
      <c r="IH44" s="151"/>
      <c r="II44" s="151"/>
      <c r="IJ44" s="151"/>
      <c r="IK44" s="151"/>
      <c r="IL44" s="151"/>
      <c r="IM44" s="151"/>
      <c r="IN44" s="151"/>
      <c r="IO44" s="151"/>
      <c r="IP44" s="151"/>
      <c r="IQ44" s="151"/>
      <c r="IR44" s="151"/>
      <c r="IS44" s="151"/>
      <c r="IT44" s="151"/>
      <c r="IU44" s="151"/>
      <c r="IV44" s="151"/>
      <c r="IW44" s="151"/>
      <c r="IX44" s="151"/>
      <c r="IY44" s="151"/>
      <c r="IZ44" s="151"/>
      <c r="JA44" s="151"/>
      <c r="JB44" s="151"/>
      <c r="JC44" s="151"/>
      <c r="JD44" s="151"/>
      <c r="JE44" s="151"/>
      <c r="JF44" s="151"/>
      <c r="JG44" s="151"/>
    </row>
    <row r="45" spans="1:268" s="160" customFormat="1">
      <c r="A45" s="237" t="s">
        <v>1453</v>
      </c>
      <c r="B45" s="267">
        <v>4923</v>
      </c>
      <c r="C45" s="257">
        <f>$B$45*C118</f>
        <v>741.9096295495699</v>
      </c>
      <c r="D45" s="258">
        <f>$B$45*D118</f>
        <v>177.31544378100602</v>
      </c>
      <c r="E45" s="258">
        <v>0</v>
      </c>
      <c r="F45" s="258">
        <f>$B$45*F118</f>
        <v>4003.7749266694245</v>
      </c>
      <c r="G45" s="233">
        <f t="shared" si="4"/>
        <v>4923</v>
      </c>
      <c r="H45" s="277" t="s">
        <v>1440</v>
      </c>
      <c r="I45" s="271"/>
      <c r="J45" s="271"/>
      <c r="K45" s="258"/>
      <c r="L45" s="258"/>
      <c r="M45" s="258"/>
      <c r="N45" s="258"/>
      <c r="O45" s="258"/>
      <c r="P45" s="258"/>
      <c r="Q45" s="271"/>
      <c r="R45" s="278" t="s">
        <v>1454</v>
      </c>
      <c r="S45" s="155"/>
      <c r="T45" s="154"/>
      <c r="U45" s="155"/>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1"/>
      <c r="BR45" s="151"/>
      <c r="BS45" s="151"/>
      <c r="BT45" s="151"/>
      <c r="BU45" s="151"/>
      <c r="BV45" s="151"/>
      <c r="BW45" s="151"/>
      <c r="BX45" s="151"/>
      <c r="BY45" s="151"/>
      <c r="BZ45" s="151"/>
      <c r="CA45" s="151"/>
      <c r="CB45" s="151"/>
      <c r="CC45" s="151"/>
      <c r="CD45" s="151"/>
      <c r="CE45" s="151"/>
      <c r="CF45" s="151"/>
      <c r="CG45" s="151"/>
      <c r="CH45" s="151"/>
      <c r="CI45" s="151"/>
      <c r="CJ45" s="151"/>
      <c r="CK45" s="151"/>
      <c r="CL45" s="151"/>
      <c r="CM45" s="151"/>
      <c r="CN45" s="151"/>
      <c r="CO45" s="151"/>
      <c r="CP45" s="151"/>
      <c r="CQ45" s="151"/>
      <c r="CR45" s="151"/>
      <c r="CS45" s="151"/>
      <c r="CT45" s="151"/>
      <c r="CU45" s="151"/>
      <c r="CV45" s="151"/>
      <c r="CW45" s="151"/>
      <c r="CX45" s="151"/>
      <c r="CY45" s="151"/>
      <c r="CZ45" s="151"/>
      <c r="DA45" s="151"/>
      <c r="DB45" s="151"/>
      <c r="DC45" s="151"/>
      <c r="DD45" s="151"/>
      <c r="DE45" s="151"/>
      <c r="DF45" s="151"/>
      <c r="DG45" s="151"/>
      <c r="DH45" s="151"/>
      <c r="DI45" s="151"/>
      <c r="DJ45" s="151"/>
      <c r="DK45" s="151"/>
      <c r="DL45" s="151"/>
      <c r="DM45" s="151"/>
      <c r="DN45" s="151"/>
      <c r="DO45" s="151"/>
      <c r="DP45" s="151"/>
      <c r="DQ45" s="151"/>
      <c r="DR45" s="151"/>
      <c r="DS45" s="151"/>
      <c r="DT45" s="151"/>
      <c r="DU45" s="151"/>
      <c r="DV45" s="151"/>
      <c r="DW45" s="151"/>
      <c r="DX45" s="151"/>
      <c r="DY45" s="151"/>
      <c r="DZ45" s="151"/>
      <c r="EA45" s="151"/>
      <c r="EB45" s="151"/>
      <c r="EC45" s="151"/>
      <c r="ED45" s="151"/>
      <c r="EE45" s="151"/>
      <c r="EF45" s="151"/>
      <c r="EG45" s="151"/>
      <c r="EH45" s="151"/>
      <c r="EI45" s="151"/>
      <c r="EJ45" s="151"/>
      <c r="EK45" s="151"/>
      <c r="EL45" s="151"/>
      <c r="EM45" s="151"/>
      <c r="EN45" s="151"/>
      <c r="EO45" s="151"/>
      <c r="EP45" s="151"/>
      <c r="EQ45" s="151"/>
      <c r="ER45" s="151"/>
      <c r="ES45" s="151"/>
      <c r="ET45" s="151"/>
      <c r="EU45" s="151"/>
      <c r="EV45" s="151"/>
      <c r="EW45" s="151"/>
      <c r="EX45" s="151"/>
      <c r="EY45" s="151"/>
      <c r="EZ45" s="151"/>
      <c r="FA45" s="151"/>
      <c r="FB45" s="151"/>
      <c r="FC45" s="151"/>
      <c r="FD45" s="151"/>
      <c r="FE45" s="151"/>
      <c r="FF45" s="151"/>
      <c r="FG45" s="151"/>
      <c r="FH45" s="151"/>
      <c r="FI45" s="151"/>
      <c r="FJ45" s="151"/>
      <c r="FK45" s="151"/>
      <c r="FL45" s="151"/>
      <c r="FM45" s="151"/>
      <c r="FN45" s="151"/>
      <c r="FO45" s="151"/>
      <c r="FP45" s="151"/>
      <c r="FQ45" s="151"/>
      <c r="FR45" s="151"/>
      <c r="FS45" s="151"/>
      <c r="FT45" s="151"/>
      <c r="FU45" s="151"/>
      <c r="FV45" s="151"/>
      <c r="FW45" s="151"/>
      <c r="FX45" s="151"/>
      <c r="FY45" s="151"/>
      <c r="FZ45" s="151"/>
      <c r="GA45" s="151"/>
      <c r="GB45" s="151"/>
      <c r="GC45" s="151"/>
      <c r="GD45" s="151"/>
      <c r="GE45" s="151"/>
      <c r="GF45" s="151"/>
      <c r="GG45" s="151"/>
      <c r="GH45" s="151"/>
      <c r="GI45" s="151"/>
      <c r="GJ45" s="151"/>
      <c r="GK45" s="151"/>
      <c r="GL45" s="151"/>
      <c r="GM45" s="151"/>
      <c r="GN45" s="151"/>
      <c r="GO45" s="151"/>
      <c r="GP45" s="151"/>
      <c r="GQ45" s="151"/>
      <c r="GR45" s="151"/>
      <c r="GS45" s="151"/>
      <c r="GT45" s="151"/>
      <c r="GU45" s="151"/>
      <c r="GV45" s="151"/>
      <c r="GW45" s="151"/>
      <c r="GX45" s="151"/>
      <c r="GY45" s="151"/>
      <c r="GZ45" s="151"/>
      <c r="HA45" s="151"/>
      <c r="HB45" s="151"/>
      <c r="HC45" s="151"/>
      <c r="HD45" s="151"/>
      <c r="HE45" s="151"/>
      <c r="HF45" s="151"/>
      <c r="HG45" s="151"/>
      <c r="HH45" s="151"/>
      <c r="HI45" s="151"/>
      <c r="HJ45" s="151"/>
      <c r="HK45" s="151"/>
      <c r="HL45" s="151"/>
      <c r="HM45" s="151"/>
      <c r="HN45" s="151"/>
      <c r="HO45" s="151"/>
      <c r="HP45" s="151"/>
      <c r="HQ45" s="151"/>
      <c r="HR45" s="151"/>
      <c r="HS45" s="151"/>
      <c r="HT45" s="151"/>
      <c r="HU45" s="151"/>
      <c r="HV45" s="151"/>
      <c r="HW45" s="151"/>
      <c r="HX45" s="151"/>
      <c r="HY45" s="151"/>
      <c r="HZ45" s="151"/>
      <c r="IA45" s="151"/>
      <c r="IB45" s="151"/>
      <c r="IC45" s="151"/>
      <c r="ID45" s="151"/>
      <c r="IE45" s="151"/>
      <c r="IF45" s="151"/>
      <c r="IG45" s="151"/>
      <c r="IH45" s="151"/>
      <c r="II45" s="151"/>
      <c r="IJ45" s="151"/>
      <c r="IK45" s="151"/>
      <c r="IL45" s="151"/>
      <c r="IM45" s="151"/>
      <c r="IN45" s="151"/>
      <c r="IO45" s="151"/>
      <c r="IP45" s="151"/>
      <c r="IQ45" s="151"/>
      <c r="IR45" s="151"/>
      <c r="IS45" s="151"/>
      <c r="IT45" s="151"/>
      <c r="IU45" s="151"/>
      <c r="IV45" s="151"/>
      <c r="IW45" s="151"/>
      <c r="IX45" s="151"/>
      <c r="IY45" s="151"/>
      <c r="IZ45" s="151"/>
      <c r="JA45" s="151"/>
      <c r="JB45" s="151"/>
      <c r="JC45" s="151"/>
      <c r="JD45" s="151"/>
      <c r="JE45" s="151"/>
      <c r="JF45" s="151"/>
      <c r="JG45" s="151"/>
    </row>
    <row r="46" spans="1:268" s="160" customFormat="1">
      <c r="A46" s="237" t="s">
        <v>902</v>
      </c>
      <c r="B46" s="267">
        <v>5534</v>
      </c>
      <c r="C46" s="257">
        <f>$B$46*0.1552</f>
        <v>858.8768</v>
      </c>
      <c r="D46" s="258">
        <f>$B$46*0.0296</f>
        <v>163.8064</v>
      </c>
      <c r="E46" s="258">
        <f>$B$46*0.058</f>
        <v>320.97200000000004</v>
      </c>
      <c r="F46" s="258">
        <f>$B$46*0.7572</f>
        <v>4190.3447999999999</v>
      </c>
      <c r="G46" s="233">
        <f t="shared" si="2"/>
        <v>5534</v>
      </c>
      <c r="H46" s="277" t="s">
        <v>1440</v>
      </c>
      <c r="I46" s="264"/>
      <c r="J46" s="229"/>
      <c r="K46" s="229"/>
      <c r="L46" s="229"/>
      <c r="M46" s="229"/>
      <c r="N46" s="229"/>
      <c r="O46" s="229"/>
      <c r="P46" s="229"/>
      <c r="Q46" s="239"/>
      <c r="R46" s="268" t="s">
        <v>903</v>
      </c>
      <c r="S46" s="155"/>
      <c r="T46" s="155"/>
      <c r="U46" s="155"/>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151"/>
      <c r="BX46" s="151"/>
      <c r="BY46" s="151"/>
      <c r="BZ46" s="151"/>
      <c r="CA46" s="151"/>
      <c r="CB46" s="151"/>
      <c r="CC46" s="151"/>
      <c r="CD46" s="151"/>
      <c r="CE46" s="151"/>
      <c r="CF46" s="151"/>
      <c r="CG46" s="151"/>
      <c r="CH46" s="151"/>
      <c r="CI46" s="151"/>
      <c r="CJ46" s="151"/>
      <c r="CK46" s="151"/>
      <c r="CL46" s="151"/>
      <c r="CM46" s="151"/>
      <c r="CN46" s="151"/>
      <c r="CO46" s="151"/>
      <c r="CP46" s="151"/>
      <c r="CQ46" s="151"/>
      <c r="CR46" s="151"/>
      <c r="CS46" s="151"/>
      <c r="CT46" s="151"/>
      <c r="CU46" s="151"/>
      <c r="CV46" s="151"/>
      <c r="CW46" s="151"/>
      <c r="CX46" s="151"/>
      <c r="CY46" s="151"/>
      <c r="CZ46" s="151"/>
      <c r="DA46" s="151"/>
      <c r="DB46" s="151"/>
      <c r="DC46" s="151"/>
      <c r="DD46" s="151"/>
      <c r="DE46" s="151"/>
      <c r="DF46" s="151"/>
      <c r="DG46" s="151"/>
      <c r="DH46" s="151"/>
      <c r="DI46" s="151"/>
      <c r="DJ46" s="151"/>
      <c r="DK46" s="151"/>
      <c r="DL46" s="151"/>
      <c r="DM46" s="151"/>
      <c r="DN46" s="151"/>
      <c r="DO46" s="151"/>
      <c r="DP46" s="151"/>
      <c r="DQ46" s="151"/>
      <c r="DR46" s="151"/>
      <c r="DS46" s="151"/>
      <c r="DT46" s="151"/>
      <c r="DU46" s="151"/>
      <c r="DV46" s="151"/>
      <c r="DW46" s="151"/>
      <c r="DX46" s="151"/>
      <c r="DY46" s="151"/>
      <c r="DZ46" s="151"/>
      <c r="EA46" s="151"/>
      <c r="EB46" s="151"/>
      <c r="EC46" s="151"/>
      <c r="ED46" s="151"/>
      <c r="EE46" s="151"/>
      <c r="EF46" s="151"/>
      <c r="EG46" s="151"/>
      <c r="EH46" s="151"/>
      <c r="EI46" s="151"/>
      <c r="EJ46" s="151"/>
      <c r="EK46" s="151"/>
      <c r="EL46" s="151"/>
      <c r="EM46" s="151"/>
      <c r="EN46" s="151"/>
      <c r="EO46" s="151"/>
      <c r="EP46" s="151"/>
      <c r="EQ46" s="151"/>
      <c r="ER46" s="151"/>
      <c r="ES46" s="151"/>
      <c r="ET46" s="151"/>
      <c r="EU46" s="151"/>
      <c r="EV46" s="151"/>
      <c r="EW46" s="151"/>
      <c r="EX46" s="151"/>
      <c r="EY46" s="151"/>
      <c r="EZ46" s="151"/>
      <c r="FA46" s="151"/>
      <c r="FB46" s="151"/>
      <c r="FC46" s="151"/>
      <c r="FD46" s="151"/>
      <c r="FE46" s="151"/>
      <c r="FF46" s="151"/>
      <c r="FG46" s="151"/>
      <c r="FH46" s="151"/>
      <c r="FI46" s="151"/>
      <c r="FJ46" s="151"/>
      <c r="FK46" s="151"/>
      <c r="FL46" s="151"/>
      <c r="FM46" s="151"/>
      <c r="FN46" s="151"/>
      <c r="FO46" s="151"/>
      <c r="FP46" s="151"/>
      <c r="FQ46" s="151"/>
      <c r="FR46" s="151"/>
      <c r="FS46" s="151"/>
      <c r="FT46" s="151"/>
      <c r="FU46" s="151"/>
      <c r="FV46" s="151"/>
      <c r="FW46" s="151"/>
      <c r="FX46" s="151"/>
      <c r="FY46" s="151"/>
      <c r="FZ46" s="151"/>
      <c r="GA46" s="151"/>
      <c r="GB46" s="151"/>
      <c r="GC46" s="151"/>
      <c r="GD46" s="151"/>
      <c r="GE46" s="151"/>
      <c r="GF46" s="151"/>
      <c r="GG46" s="151"/>
      <c r="GH46" s="151"/>
      <c r="GI46" s="151"/>
      <c r="GJ46" s="151"/>
      <c r="GK46" s="151"/>
      <c r="GL46" s="151"/>
      <c r="GM46" s="151"/>
      <c r="GN46" s="151"/>
      <c r="GO46" s="151"/>
      <c r="GP46" s="151"/>
      <c r="GQ46" s="151"/>
      <c r="GR46" s="151"/>
      <c r="GS46" s="151"/>
      <c r="GT46" s="151"/>
      <c r="GU46" s="151"/>
      <c r="GV46" s="151"/>
      <c r="GW46" s="151"/>
      <c r="GX46" s="151"/>
      <c r="GY46" s="151"/>
      <c r="GZ46" s="151"/>
      <c r="HA46" s="151"/>
      <c r="HB46" s="151"/>
      <c r="HC46" s="151"/>
      <c r="HD46" s="151"/>
      <c r="HE46" s="151"/>
      <c r="HF46" s="151"/>
      <c r="HG46" s="151"/>
      <c r="HH46" s="151"/>
      <c r="HI46" s="151"/>
      <c r="HJ46" s="151"/>
      <c r="HK46" s="151"/>
      <c r="HL46" s="151"/>
      <c r="HM46" s="151"/>
      <c r="HN46" s="151"/>
      <c r="HO46" s="151"/>
      <c r="HP46" s="151"/>
      <c r="HQ46" s="151"/>
      <c r="HR46" s="151"/>
      <c r="HS46" s="151"/>
      <c r="HT46" s="151"/>
      <c r="HU46" s="151"/>
      <c r="HV46" s="151"/>
      <c r="HW46" s="151"/>
      <c r="HX46" s="151"/>
      <c r="HY46" s="151"/>
      <c r="HZ46" s="151"/>
      <c r="IA46" s="151"/>
      <c r="IB46" s="151"/>
      <c r="IC46" s="151"/>
      <c r="ID46" s="151"/>
      <c r="IE46" s="151"/>
      <c r="IF46" s="151"/>
      <c r="IG46" s="151"/>
      <c r="IH46" s="151"/>
      <c r="II46" s="151"/>
      <c r="IJ46" s="151"/>
      <c r="IK46" s="151"/>
      <c r="IL46" s="151"/>
      <c r="IM46" s="151"/>
      <c r="IN46" s="151"/>
      <c r="IO46" s="151"/>
      <c r="IP46" s="151"/>
      <c r="IQ46" s="151"/>
      <c r="IR46" s="151"/>
      <c r="IS46" s="151"/>
      <c r="IT46" s="151"/>
      <c r="IU46" s="151"/>
      <c r="IV46" s="151"/>
      <c r="IW46" s="151"/>
      <c r="IX46" s="151"/>
      <c r="IY46" s="151"/>
      <c r="IZ46" s="151"/>
      <c r="JA46" s="151"/>
      <c r="JB46" s="151"/>
      <c r="JC46" s="151"/>
      <c r="JD46" s="151"/>
      <c r="JE46" s="151"/>
      <c r="JF46" s="151"/>
      <c r="JG46" s="151"/>
    </row>
    <row r="47" spans="1:268" s="160" customFormat="1">
      <c r="A47" s="237" t="s">
        <v>904</v>
      </c>
      <c r="B47" s="267">
        <v>5548</v>
      </c>
      <c r="C47" s="257">
        <f>$B47*C$115</f>
        <v>791.36249834585897</v>
      </c>
      <c r="D47" s="258">
        <f>$B47*$D$115</f>
        <v>189.13461558793023</v>
      </c>
      <c r="E47" s="258">
        <f>$B47*$E$115</f>
        <v>296.851579508491</v>
      </c>
      <c r="F47" s="258">
        <f>$B47*$F$115</f>
        <v>4270.6513065577201</v>
      </c>
      <c r="G47" s="233">
        <f t="shared" si="2"/>
        <v>5548</v>
      </c>
      <c r="H47" s="394" t="s">
        <v>1440</v>
      </c>
      <c r="I47" s="264"/>
      <c r="J47" s="229"/>
      <c r="K47" s="229"/>
      <c r="L47" s="229"/>
      <c r="M47" s="229"/>
      <c r="N47" s="229"/>
      <c r="O47" s="229"/>
      <c r="P47" s="229"/>
      <c r="Q47" s="239"/>
      <c r="R47" s="275"/>
      <c r="S47" s="155"/>
      <c r="T47" s="155"/>
      <c r="U47" s="155"/>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1"/>
      <c r="BR47" s="151"/>
      <c r="BS47" s="151"/>
      <c r="BT47" s="151"/>
      <c r="BU47" s="151"/>
      <c r="BV47" s="151"/>
      <c r="BW47" s="151"/>
      <c r="BX47" s="151"/>
      <c r="BY47" s="151"/>
      <c r="BZ47" s="151"/>
      <c r="CA47" s="151"/>
      <c r="CB47" s="151"/>
      <c r="CC47" s="151"/>
      <c r="CD47" s="151"/>
      <c r="CE47" s="151"/>
      <c r="CF47" s="151"/>
      <c r="CG47" s="151"/>
      <c r="CH47" s="151"/>
      <c r="CI47" s="151"/>
      <c r="CJ47" s="151"/>
      <c r="CK47" s="151"/>
      <c r="CL47" s="151"/>
      <c r="CM47" s="151"/>
      <c r="CN47" s="151"/>
      <c r="CO47" s="151"/>
      <c r="CP47" s="151"/>
      <c r="CQ47" s="151"/>
      <c r="CR47" s="151"/>
      <c r="CS47" s="151"/>
      <c r="CT47" s="151"/>
      <c r="CU47" s="151"/>
      <c r="CV47" s="151"/>
      <c r="CW47" s="151"/>
      <c r="CX47" s="151"/>
      <c r="CY47" s="151"/>
      <c r="CZ47" s="151"/>
      <c r="DA47" s="151"/>
      <c r="DB47" s="151"/>
      <c r="DC47" s="151"/>
      <c r="DD47" s="151"/>
      <c r="DE47" s="151"/>
      <c r="DF47" s="151"/>
      <c r="DG47" s="151"/>
      <c r="DH47" s="151"/>
      <c r="DI47" s="151"/>
      <c r="DJ47" s="151"/>
      <c r="DK47" s="151"/>
      <c r="DL47" s="151"/>
      <c r="DM47" s="151"/>
      <c r="DN47" s="151"/>
      <c r="DO47" s="151"/>
      <c r="DP47" s="151"/>
      <c r="DQ47" s="151"/>
      <c r="DR47" s="151"/>
      <c r="DS47" s="151"/>
      <c r="DT47" s="151"/>
      <c r="DU47" s="151"/>
      <c r="DV47" s="151"/>
      <c r="DW47" s="151"/>
      <c r="DX47" s="151"/>
      <c r="DY47" s="151"/>
      <c r="DZ47" s="151"/>
      <c r="EA47" s="151"/>
      <c r="EB47" s="151"/>
      <c r="EC47" s="151"/>
      <c r="ED47" s="151"/>
      <c r="EE47" s="151"/>
      <c r="EF47" s="151"/>
      <c r="EG47" s="151"/>
      <c r="EH47" s="151"/>
      <c r="EI47" s="151"/>
      <c r="EJ47" s="151"/>
      <c r="EK47" s="151"/>
      <c r="EL47" s="151"/>
      <c r="EM47" s="151"/>
      <c r="EN47" s="151"/>
      <c r="EO47" s="151"/>
      <c r="EP47" s="151"/>
      <c r="EQ47" s="151"/>
      <c r="ER47" s="151"/>
      <c r="ES47" s="151"/>
      <c r="ET47" s="151"/>
      <c r="EU47" s="151"/>
      <c r="EV47" s="151"/>
      <c r="EW47" s="151"/>
      <c r="EX47" s="151"/>
      <c r="EY47" s="151"/>
      <c r="EZ47" s="151"/>
      <c r="FA47" s="151"/>
      <c r="FB47" s="151"/>
      <c r="FC47" s="151"/>
      <c r="FD47" s="151"/>
      <c r="FE47" s="151"/>
      <c r="FF47" s="151"/>
      <c r="FG47" s="151"/>
      <c r="FH47" s="151"/>
      <c r="FI47" s="151"/>
      <c r="FJ47" s="151"/>
      <c r="FK47" s="151"/>
      <c r="FL47" s="151"/>
      <c r="FM47" s="151"/>
      <c r="FN47" s="151"/>
      <c r="FO47" s="151"/>
      <c r="FP47" s="151"/>
      <c r="FQ47" s="151"/>
      <c r="FR47" s="151"/>
      <c r="FS47" s="151"/>
      <c r="FT47" s="151"/>
      <c r="FU47" s="151"/>
      <c r="FV47" s="151"/>
      <c r="FW47" s="151"/>
      <c r="FX47" s="151"/>
      <c r="FY47" s="151"/>
      <c r="FZ47" s="151"/>
      <c r="GA47" s="151"/>
      <c r="GB47" s="151"/>
      <c r="GC47" s="151"/>
      <c r="GD47" s="151"/>
      <c r="GE47" s="151"/>
      <c r="GF47" s="151"/>
      <c r="GG47" s="151"/>
      <c r="GH47" s="151"/>
      <c r="GI47" s="151"/>
      <c r="GJ47" s="151"/>
      <c r="GK47" s="151"/>
      <c r="GL47" s="151"/>
      <c r="GM47" s="151"/>
      <c r="GN47" s="151"/>
      <c r="GO47" s="151"/>
      <c r="GP47" s="151"/>
      <c r="GQ47" s="151"/>
      <c r="GR47" s="151"/>
      <c r="GS47" s="151"/>
      <c r="GT47" s="151"/>
      <c r="GU47" s="151"/>
      <c r="GV47" s="151"/>
      <c r="GW47" s="151"/>
      <c r="GX47" s="151"/>
      <c r="GY47" s="151"/>
      <c r="GZ47" s="151"/>
      <c r="HA47" s="151"/>
      <c r="HB47" s="151"/>
      <c r="HC47" s="151"/>
      <c r="HD47" s="151"/>
      <c r="HE47" s="151"/>
      <c r="HF47" s="151"/>
      <c r="HG47" s="151"/>
      <c r="HH47" s="151"/>
      <c r="HI47" s="151"/>
      <c r="HJ47" s="151"/>
      <c r="HK47" s="151"/>
      <c r="HL47" s="151"/>
      <c r="HM47" s="151"/>
      <c r="HN47" s="151"/>
      <c r="HO47" s="151"/>
      <c r="HP47" s="151"/>
      <c r="HQ47" s="151"/>
      <c r="HR47" s="151"/>
      <c r="HS47" s="151"/>
      <c r="HT47" s="151"/>
      <c r="HU47" s="151"/>
      <c r="HV47" s="151"/>
      <c r="HW47" s="151"/>
      <c r="HX47" s="151"/>
      <c r="HY47" s="151"/>
      <c r="HZ47" s="151"/>
      <c r="IA47" s="151"/>
      <c r="IB47" s="151"/>
      <c r="IC47" s="151"/>
      <c r="ID47" s="151"/>
      <c r="IE47" s="151"/>
      <c r="IF47" s="151"/>
      <c r="IG47" s="151"/>
      <c r="IH47" s="151"/>
      <c r="II47" s="151"/>
      <c r="IJ47" s="151"/>
      <c r="IK47" s="151"/>
      <c r="IL47" s="151"/>
      <c r="IM47" s="151"/>
      <c r="IN47" s="151"/>
      <c r="IO47" s="151"/>
      <c r="IP47" s="151"/>
      <c r="IQ47" s="151"/>
      <c r="IR47" s="151"/>
      <c r="IS47" s="151"/>
      <c r="IT47" s="151"/>
      <c r="IU47" s="151"/>
      <c r="IV47" s="151"/>
      <c r="IW47" s="151"/>
      <c r="IX47" s="151"/>
      <c r="IY47" s="151"/>
      <c r="IZ47" s="151"/>
      <c r="JA47" s="151"/>
      <c r="JB47" s="151"/>
      <c r="JC47" s="151"/>
      <c r="JD47" s="151"/>
      <c r="JE47" s="151"/>
      <c r="JF47" s="151"/>
      <c r="JG47" s="151"/>
    </row>
    <row r="48" spans="1:268" s="160" customFormat="1">
      <c r="A48" s="237" t="s">
        <v>1455</v>
      </c>
      <c r="B48" s="267">
        <v>1386</v>
      </c>
      <c r="C48" s="257">
        <f>$B48*C$115</f>
        <v>197.69798534739735</v>
      </c>
      <c r="D48" s="258">
        <f>$B48*D$115</f>
        <v>47.249563302968873</v>
      </c>
      <c r="E48" s="258">
        <f>$B48*$E$115</f>
        <v>74.159388824579764</v>
      </c>
      <c r="F48" s="258">
        <f>$B48*$F$115</f>
        <v>1066.8930625250539</v>
      </c>
      <c r="G48" s="233">
        <f t="shared" ref="G48:G49" si="5">SUM(C48:F48)</f>
        <v>1386</v>
      </c>
      <c r="H48" s="394" t="s">
        <v>899</v>
      </c>
      <c r="I48" s="264"/>
      <c r="J48" s="229"/>
      <c r="K48" s="229"/>
      <c r="L48" s="229"/>
      <c r="M48" s="229"/>
      <c r="N48" s="229"/>
      <c r="O48" s="229"/>
      <c r="P48" s="229"/>
      <c r="Q48" s="239"/>
      <c r="R48" s="268" t="s">
        <v>1456</v>
      </c>
      <c r="S48" s="155"/>
      <c r="T48" s="155"/>
      <c r="U48" s="155"/>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1"/>
      <c r="BR48" s="151"/>
      <c r="BS48" s="151"/>
      <c r="BT48" s="151"/>
      <c r="BU48" s="151"/>
      <c r="BV48" s="151"/>
      <c r="BW48" s="151"/>
      <c r="BX48" s="151"/>
      <c r="BY48" s="151"/>
      <c r="BZ48" s="151"/>
      <c r="CA48" s="151"/>
      <c r="CB48" s="151"/>
      <c r="CC48" s="151"/>
      <c r="CD48" s="151"/>
      <c r="CE48" s="151"/>
      <c r="CF48" s="151"/>
      <c r="CG48" s="151"/>
      <c r="CH48" s="151"/>
      <c r="CI48" s="151"/>
      <c r="CJ48" s="151"/>
      <c r="CK48" s="151"/>
      <c r="CL48" s="151"/>
      <c r="CM48" s="151"/>
      <c r="CN48" s="151"/>
      <c r="CO48" s="151"/>
      <c r="CP48" s="151"/>
      <c r="CQ48" s="151"/>
      <c r="CR48" s="151"/>
      <c r="CS48" s="151"/>
      <c r="CT48" s="151"/>
      <c r="CU48" s="151"/>
      <c r="CV48" s="151"/>
      <c r="CW48" s="151"/>
      <c r="CX48" s="151"/>
      <c r="CY48" s="151"/>
      <c r="CZ48" s="151"/>
      <c r="DA48" s="151"/>
      <c r="DB48" s="151"/>
      <c r="DC48" s="151"/>
      <c r="DD48" s="151"/>
      <c r="DE48" s="151"/>
      <c r="DF48" s="151"/>
      <c r="DG48" s="151"/>
      <c r="DH48" s="151"/>
      <c r="DI48" s="151"/>
      <c r="DJ48" s="151"/>
      <c r="DK48" s="151"/>
      <c r="DL48" s="151"/>
      <c r="DM48" s="151"/>
      <c r="DN48" s="151"/>
      <c r="DO48" s="151"/>
      <c r="DP48" s="151"/>
      <c r="DQ48" s="151"/>
      <c r="DR48" s="151"/>
      <c r="DS48" s="151"/>
      <c r="DT48" s="151"/>
      <c r="DU48" s="151"/>
      <c r="DV48" s="151"/>
      <c r="DW48" s="151"/>
      <c r="DX48" s="151"/>
      <c r="DY48" s="151"/>
      <c r="DZ48" s="151"/>
      <c r="EA48" s="151"/>
      <c r="EB48" s="151"/>
      <c r="EC48" s="151"/>
      <c r="ED48" s="151"/>
      <c r="EE48" s="151"/>
      <c r="EF48" s="151"/>
      <c r="EG48" s="151"/>
      <c r="EH48" s="151"/>
      <c r="EI48" s="151"/>
      <c r="EJ48" s="151"/>
      <c r="EK48" s="151"/>
      <c r="EL48" s="151"/>
      <c r="EM48" s="151"/>
      <c r="EN48" s="151"/>
      <c r="EO48" s="151"/>
      <c r="EP48" s="151"/>
      <c r="EQ48" s="151"/>
      <c r="ER48" s="151"/>
      <c r="ES48" s="151"/>
      <c r="ET48" s="151"/>
      <c r="EU48" s="151"/>
      <c r="EV48" s="151"/>
      <c r="EW48" s="151"/>
      <c r="EX48" s="151"/>
      <c r="EY48" s="151"/>
      <c r="EZ48" s="151"/>
      <c r="FA48" s="151"/>
      <c r="FB48" s="151"/>
      <c r="FC48" s="151"/>
      <c r="FD48" s="151"/>
      <c r="FE48" s="151"/>
      <c r="FF48" s="151"/>
      <c r="FG48" s="151"/>
      <c r="FH48" s="151"/>
      <c r="FI48" s="151"/>
      <c r="FJ48" s="151"/>
      <c r="FK48" s="151"/>
      <c r="FL48" s="151"/>
      <c r="FM48" s="151"/>
      <c r="FN48" s="151"/>
      <c r="FO48" s="151"/>
      <c r="FP48" s="151"/>
      <c r="FQ48" s="151"/>
      <c r="FR48" s="151"/>
      <c r="FS48" s="151"/>
      <c r="FT48" s="151"/>
      <c r="FU48" s="151"/>
      <c r="FV48" s="151"/>
      <c r="FW48" s="151"/>
      <c r="FX48" s="151"/>
      <c r="FY48" s="151"/>
      <c r="FZ48" s="151"/>
      <c r="GA48" s="151"/>
      <c r="GB48" s="151"/>
      <c r="GC48" s="151"/>
      <c r="GD48" s="151"/>
      <c r="GE48" s="151"/>
      <c r="GF48" s="151"/>
      <c r="GG48" s="151"/>
      <c r="GH48" s="151"/>
      <c r="GI48" s="151"/>
      <c r="GJ48" s="151"/>
      <c r="GK48" s="151"/>
      <c r="GL48" s="151"/>
      <c r="GM48" s="151"/>
      <c r="GN48" s="151"/>
      <c r="GO48" s="151"/>
      <c r="GP48" s="151"/>
      <c r="GQ48" s="151"/>
      <c r="GR48" s="151"/>
      <c r="GS48" s="151"/>
      <c r="GT48" s="151"/>
      <c r="GU48" s="151"/>
      <c r="GV48" s="151"/>
      <c r="GW48" s="151"/>
      <c r="GX48" s="151"/>
      <c r="GY48" s="151"/>
      <c r="GZ48" s="151"/>
      <c r="HA48" s="151"/>
      <c r="HB48" s="151"/>
      <c r="HC48" s="151"/>
      <c r="HD48" s="151"/>
      <c r="HE48" s="151"/>
      <c r="HF48" s="151"/>
      <c r="HG48" s="151"/>
      <c r="HH48" s="151"/>
      <c r="HI48" s="151"/>
      <c r="HJ48" s="151"/>
      <c r="HK48" s="151"/>
      <c r="HL48" s="151"/>
      <c r="HM48" s="151"/>
      <c r="HN48" s="151"/>
      <c r="HO48" s="151"/>
      <c r="HP48" s="151"/>
      <c r="HQ48" s="151"/>
      <c r="HR48" s="151"/>
      <c r="HS48" s="151"/>
      <c r="HT48" s="151"/>
      <c r="HU48" s="151"/>
      <c r="HV48" s="151"/>
      <c r="HW48" s="151"/>
      <c r="HX48" s="151"/>
      <c r="HY48" s="151"/>
      <c r="HZ48" s="151"/>
      <c r="IA48" s="151"/>
      <c r="IB48" s="151"/>
      <c r="IC48" s="151"/>
      <c r="ID48" s="151"/>
      <c r="IE48" s="151"/>
      <c r="IF48" s="151"/>
      <c r="IG48" s="151"/>
      <c r="IH48" s="151"/>
      <c r="II48" s="151"/>
      <c r="IJ48" s="151"/>
      <c r="IK48" s="151"/>
      <c r="IL48" s="151"/>
      <c r="IM48" s="151"/>
      <c r="IN48" s="151"/>
      <c r="IO48" s="151"/>
      <c r="IP48" s="151"/>
      <c r="IQ48" s="151"/>
      <c r="IR48" s="151"/>
      <c r="IS48" s="151"/>
      <c r="IT48" s="151"/>
      <c r="IU48" s="151"/>
      <c r="IV48" s="151"/>
      <c r="IW48" s="151"/>
      <c r="IX48" s="151"/>
      <c r="IY48" s="151"/>
      <c r="IZ48" s="151"/>
      <c r="JA48" s="151"/>
      <c r="JB48" s="151"/>
      <c r="JC48" s="151"/>
      <c r="JD48" s="151"/>
      <c r="JE48" s="151"/>
      <c r="JF48" s="151"/>
      <c r="JG48" s="151"/>
    </row>
    <row r="49" spans="1:268" s="160" customFormat="1">
      <c r="A49" s="237" t="s">
        <v>1457</v>
      </c>
      <c r="B49" s="267">
        <f>21245.11+165.46+1974.45+1940.89</f>
        <v>25325.91</v>
      </c>
      <c r="C49" s="257">
        <v>21245.11</v>
      </c>
      <c r="D49" s="258">
        <v>0</v>
      </c>
      <c r="E49" s="258">
        <v>165.46</v>
      </c>
      <c r="F49" s="258">
        <f>1974.45+1940.89</f>
        <v>3915.34</v>
      </c>
      <c r="G49" s="233">
        <f t="shared" si="5"/>
        <v>25325.91</v>
      </c>
      <c r="H49" s="394" t="s">
        <v>899</v>
      </c>
      <c r="I49" s="264"/>
      <c r="J49" s="229"/>
      <c r="K49" s="229"/>
      <c r="L49" s="229"/>
      <c r="M49" s="229"/>
      <c r="N49" s="229"/>
      <c r="O49" s="229"/>
      <c r="P49" s="229"/>
      <c r="Q49" s="239"/>
      <c r="R49" s="268"/>
      <c r="S49" s="155"/>
      <c r="T49" s="155"/>
      <c r="U49" s="155"/>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1"/>
      <c r="BW49" s="151"/>
      <c r="BX49" s="151"/>
      <c r="BY49" s="151"/>
      <c r="BZ49" s="151"/>
      <c r="CA49" s="151"/>
      <c r="CB49" s="151"/>
      <c r="CC49" s="151"/>
      <c r="CD49" s="151"/>
      <c r="CE49" s="151"/>
      <c r="CF49" s="151"/>
      <c r="CG49" s="151"/>
      <c r="CH49" s="151"/>
      <c r="CI49" s="151"/>
      <c r="CJ49" s="151"/>
      <c r="CK49" s="151"/>
      <c r="CL49" s="151"/>
      <c r="CM49" s="151"/>
      <c r="CN49" s="151"/>
      <c r="CO49" s="151"/>
      <c r="CP49" s="151"/>
      <c r="CQ49" s="151"/>
      <c r="CR49" s="151"/>
      <c r="CS49" s="151"/>
      <c r="CT49" s="151"/>
      <c r="CU49" s="151"/>
      <c r="CV49" s="151"/>
      <c r="CW49" s="151"/>
      <c r="CX49" s="151"/>
      <c r="CY49" s="151"/>
      <c r="CZ49" s="151"/>
      <c r="DA49" s="151"/>
      <c r="DB49" s="151"/>
      <c r="DC49" s="151"/>
      <c r="DD49" s="151"/>
      <c r="DE49" s="151"/>
      <c r="DF49" s="151"/>
      <c r="DG49" s="151"/>
      <c r="DH49" s="151"/>
      <c r="DI49" s="151"/>
      <c r="DJ49" s="151"/>
      <c r="DK49" s="151"/>
      <c r="DL49" s="151"/>
      <c r="DM49" s="151"/>
      <c r="DN49" s="151"/>
      <c r="DO49" s="151"/>
      <c r="DP49" s="151"/>
      <c r="DQ49" s="151"/>
      <c r="DR49" s="151"/>
      <c r="DS49" s="151"/>
      <c r="DT49" s="151"/>
      <c r="DU49" s="151"/>
      <c r="DV49" s="151"/>
      <c r="DW49" s="151"/>
      <c r="DX49" s="151"/>
      <c r="DY49" s="151"/>
      <c r="DZ49" s="151"/>
      <c r="EA49" s="151"/>
      <c r="EB49" s="151"/>
      <c r="EC49" s="151"/>
      <c r="ED49" s="151"/>
      <c r="EE49" s="151"/>
      <c r="EF49" s="151"/>
      <c r="EG49" s="151"/>
      <c r="EH49" s="151"/>
      <c r="EI49" s="151"/>
      <c r="EJ49" s="151"/>
      <c r="EK49" s="151"/>
      <c r="EL49" s="151"/>
      <c r="EM49" s="151"/>
      <c r="EN49" s="151"/>
      <c r="EO49" s="151"/>
      <c r="EP49" s="151"/>
      <c r="EQ49" s="151"/>
      <c r="ER49" s="151"/>
      <c r="ES49" s="151"/>
      <c r="ET49" s="151"/>
      <c r="EU49" s="151"/>
      <c r="EV49" s="151"/>
      <c r="EW49" s="151"/>
      <c r="EX49" s="151"/>
      <c r="EY49" s="151"/>
      <c r="EZ49" s="151"/>
      <c r="FA49" s="151"/>
      <c r="FB49" s="151"/>
      <c r="FC49" s="151"/>
      <c r="FD49" s="151"/>
      <c r="FE49" s="151"/>
      <c r="FF49" s="151"/>
      <c r="FG49" s="151"/>
      <c r="FH49" s="151"/>
      <c r="FI49" s="151"/>
      <c r="FJ49" s="151"/>
      <c r="FK49" s="151"/>
      <c r="FL49" s="151"/>
      <c r="FM49" s="151"/>
      <c r="FN49" s="151"/>
      <c r="FO49" s="151"/>
      <c r="FP49" s="151"/>
      <c r="FQ49" s="151"/>
      <c r="FR49" s="151"/>
      <c r="FS49" s="151"/>
      <c r="FT49" s="151"/>
      <c r="FU49" s="151"/>
      <c r="FV49" s="151"/>
      <c r="FW49" s="151"/>
      <c r="FX49" s="151"/>
      <c r="FY49" s="151"/>
      <c r="FZ49" s="151"/>
      <c r="GA49" s="151"/>
      <c r="GB49" s="151"/>
      <c r="GC49" s="151"/>
      <c r="GD49" s="151"/>
      <c r="GE49" s="151"/>
      <c r="GF49" s="151"/>
      <c r="GG49" s="151"/>
      <c r="GH49" s="151"/>
      <c r="GI49" s="151"/>
      <c r="GJ49" s="151"/>
      <c r="GK49" s="151"/>
      <c r="GL49" s="151"/>
      <c r="GM49" s="151"/>
      <c r="GN49" s="151"/>
      <c r="GO49" s="151"/>
      <c r="GP49" s="151"/>
      <c r="GQ49" s="151"/>
      <c r="GR49" s="151"/>
      <c r="GS49" s="151"/>
      <c r="GT49" s="151"/>
      <c r="GU49" s="151"/>
      <c r="GV49" s="151"/>
      <c r="GW49" s="151"/>
      <c r="GX49" s="151"/>
      <c r="GY49" s="151"/>
      <c r="GZ49" s="151"/>
      <c r="HA49" s="151"/>
      <c r="HB49" s="151"/>
      <c r="HC49" s="151"/>
      <c r="HD49" s="151"/>
      <c r="HE49" s="151"/>
      <c r="HF49" s="151"/>
      <c r="HG49" s="151"/>
      <c r="HH49" s="151"/>
      <c r="HI49" s="151"/>
      <c r="HJ49" s="151"/>
      <c r="HK49" s="151"/>
      <c r="HL49" s="151"/>
      <c r="HM49" s="151"/>
      <c r="HN49" s="151"/>
      <c r="HO49" s="151"/>
      <c r="HP49" s="151"/>
      <c r="HQ49" s="151"/>
      <c r="HR49" s="151"/>
      <c r="HS49" s="151"/>
      <c r="HT49" s="151"/>
      <c r="HU49" s="151"/>
      <c r="HV49" s="151"/>
      <c r="HW49" s="151"/>
      <c r="HX49" s="151"/>
      <c r="HY49" s="151"/>
      <c r="HZ49" s="151"/>
      <c r="IA49" s="151"/>
      <c r="IB49" s="151"/>
      <c r="IC49" s="151"/>
      <c r="ID49" s="151"/>
      <c r="IE49" s="151"/>
      <c r="IF49" s="151"/>
      <c r="IG49" s="151"/>
      <c r="IH49" s="151"/>
      <c r="II49" s="151"/>
      <c r="IJ49" s="151"/>
      <c r="IK49" s="151"/>
      <c r="IL49" s="151"/>
      <c r="IM49" s="151"/>
      <c r="IN49" s="151"/>
      <c r="IO49" s="151"/>
      <c r="IP49" s="151"/>
      <c r="IQ49" s="151"/>
      <c r="IR49" s="151"/>
      <c r="IS49" s="151"/>
      <c r="IT49" s="151"/>
      <c r="IU49" s="151"/>
      <c r="IV49" s="151"/>
      <c r="IW49" s="151"/>
      <c r="IX49" s="151"/>
      <c r="IY49" s="151"/>
      <c r="IZ49" s="151"/>
      <c r="JA49" s="151"/>
      <c r="JB49" s="151"/>
      <c r="JC49" s="151"/>
      <c r="JD49" s="151"/>
      <c r="JE49" s="151"/>
      <c r="JF49" s="151"/>
      <c r="JG49" s="151"/>
    </row>
    <row r="50" spans="1:268" s="155" customFormat="1">
      <c r="A50" s="237" t="s">
        <v>1458</v>
      </c>
      <c r="B50" s="267">
        <v>29471.7</v>
      </c>
      <c r="C50" s="257">
        <v>4673.92</v>
      </c>
      <c r="D50" s="258">
        <v>1389.89</v>
      </c>
      <c r="E50" s="258">
        <f>36.4+1718.23</f>
        <v>1754.63</v>
      </c>
      <c r="F50" s="258">
        <f>434.38+427+20791.79</f>
        <v>21653.170000000002</v>
      </c>
      <c r="G50" s="233">
        <f>SUM(C50:F50)</f>
        <v>29471.61</v>
      </c>
      <c r="H50" s="394" t="s">
        <v>899</v>
      </c>
      <c r="I50" s="270"/>
      <c r="J50" s="271"/>
      <c r="K50" s="229"/>
      <c r="L50" s="229"/>
      <c r="M50" s="229"/>
      <c r="N50" s="229"/>
      <c r="O50" s="229"/>
      <c r="P50" s="229"/>
      <c r="Q50" s="272"/>
      <c r="R50" s="275"/>
      <c r="T50" s="154"/>
      <c r="V50" s="269"/>
    </row>
    <row r="51" spans="1:268" s="160" customFormat="1">
      <c r="A51" s="237" t="s">
        <v>1459</v>
      </c>
      <c r="B51" s="267" t="s">
        <v>1460</v>
      </c>
      <c r="C51" s="257">
        <v>0</v>
      </c>
      <c r="D51" s="258">
        <v>0</v>
      </c>
      <c r="E51" s="258">
        <v>0</v>
      </c>
      <c r="F51" s="258">
        <v>0</v>
      </c>
      <c r="G51" s="233">
        <f>SUM(C51:F51)</f>
        <v>0</v>
      </c>
      <c r="H51" s="277" t="s">
        <v>1440</v>
      </c>
      <c r="I51" s="270"/>
      <c r="J51" s="271"/>
      <c r="K51" s="229"/>
      <c r="L51" s="229"/>
      <c r="M51" s="229"/>
      <c r="N51" s="229"/>
      <c r="O51" s="229"/>
      <c r="P51" s="229"/>
      <c r="Q51" s="272"/>
      <c r="R51" s="275"/>
      <c r="S51" s="155"/>
      <c r="T51" s="154"/>
      <c r="U51" s="155"/>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1"/>
      <c r="BR51" s="151"/>
      <c r="BS51" s="151"/>
      <c r="BT51" s="151"/>
      <c r="BU51" s="151"/>
      <c r="BV51" s="151"/>
      <c r="BW51" s="151"/>
      <c r="BX51" s="151"/>
      <c r="BY51" s="151"/>
      <c r="BZ51" s="151"/>
      <c r="CA51" s="151"/>
      <c r="CB51" s="151"/>
      <c r="CC51" s="151"/>
      <c r="CD51" s="151"/>
      <c r="CE51" s="151"/>
      <c r="CF51" s="151"/>
      <c r="CG51" s="151"/>
      <c r="CH51" s="151"/>
      <c r="CI51" s="151"/>
      <c r="CJ51" s="151"/>
      <c r="CK51" s="151"/>
      <c r="CL51" s="151"/>
      <c r="CM51" s="151"/>
      <c r="CN51" s="151"/>
      <c r="CO51" s="151"/>
      <c r="CP51" s="151"/>
      <c r="CQ51" s="151"/>
      <c r="CR51" s="151"/>
      <c r="CS51" s="151"/>
      <c r="CT51" s="151"/>
      <c r="CU51" s="151"/>
      <c r="CV51" s="151"/>
      <c r="CW51" s="151"/>
      <c r="CX51" s="151"/>
      <c r="CY51" s="151"/>
      <c r="CZ51" s="151"/>
      <c r="DA51" s="151"/>
      <c r="DB51" s="151"/>
      <c r="DC51" s="151"/>
      <c r="DD51" s="151"/>
      <c r="DE51" s="151"/>
      <c r="DF51" s="151"/>
      <c r="DG51" s="151"/>
      <c r="DH51" s="151"/>
      <c r="DI51" s="151"/>
      <c r="DJ51" s="151"/>
      <c r="DK51" s="151"/>
      <c r="DL51" s="151"/>
      <c r="DM51" s="151"/>
      <c r="DN51" s="151"/>
      <c r="DO51" s="151"/>
      <c r="DP51" s="151"/>
      <c r="DQ51" s="151"/>
      <c r="DR51" s="151"/>
      <c r="DS51" s="151"/>
      <c r="DT51" s="151"/>
      <c r="DU51" s="151"/>
      <c r="DV51" s="151"/>
      <c r="DW51" s="151"/>
      <c r="DX51" s="151"/>
      <c r="DY51" s="151"/>
      <c r="DZ51" s="151"/>
      <c r="EA51" s="151"/>
      <c r="EB51" s="151"/>
      <c r="EC51" s="151"/>
      <c r="ED51" s="151"/>
      <c r="EE51" s="151"/>
      <c r="EF51" s="151"/>
      <c r="EG51" s="151"/>
      <c r="EH51" s="151"/>
      <c r="EI51" s="151"/>
      <c r="EJ51" s="151"/>
      <c r="EK51" s="151"/>
      <c r="EL51" s="151"/>
      <c r="EM51" s="151"/>
      <c r="EN51" s="151"/>
      <c r="EO51" s="151"/>
      <c r="EP51" s="151"/>
      <c r="EQ51" s="151"/>
      <c r="ER51" s="151"/>
      <c r="ES51" s="151"/>
      <c r="ET51" s="151"/>
      <c r="EU51" s="151"/>
      <c r="EV51" s="151"/>
      <c r="EW51" s="151"/>
      <c r="EX51" s="151"/>
      <c r="EY51" s="151"/>
      <c r="EZ51" s="151"/>
      <c r="FA51" s="151"/>
      <c r="FB51" s="151"/>
      <c r="FC51" s="151"/>
      <c r="FD51" s="151"/>
      <c r="FE51" s="151"/>
      <c r="FF51" s="151"/>
      <c r="FG51" s="151"/>
      <c r="FH51" s="151"/>
      <c r="FI51" s="151"/>
      <c r="FJ51" s="151"/>
      <c r="FK51" s="151"/>
      <c r="FL51" s="151"/>
      <c r="FM51" s="151"/>
      <c r="FN51" s="151"/>
      <c r="FO51" s="151"/>
      <c r="FP51" s="151"/>
      <c r="FQ51" s="151"/>
      <c r="FR51" s="151"/>
      <c r="FS51" s="151"/>
      <c r="FT51" s="151"/>
      <c r="FU51" s="151"/>
      <c r="FV51" s="151"/>
      <c r="FW51" s="151"/>
      <c r="FX51" s="151"/>
      <c r="FY51" s="151"/>
      <c r="FZ51" s="151"/>
      <c r="GA51" s="151"/>
      <c r="GB51" s="151"/>
      <c r="GC51" s="151"/>
      <c r="GD51" s="151"/>
      <c r="GE51" s="151"/>
      <c r="GF51" s="151"/>
      <c r="GG51" s="151"/>
      <c r="GH51" s="151"/>
      <c r="GI51" s="151"/>
      <c r="GJ51" s="151"/>
      <c r="GK51" s="151"/>
      <c r="GL51" s="151"/>
      <c r="GM51" s="151"/>
      <c r="GN51" s="151"/>
      <c r="GO51" s="151"/>
      <c r="GP51" s="151"/>
      <c r="GQ51" s="151"/>
      <c r="GR51" s="151"/>
      <c r="GS51" s="151"/>
      <c r="GT51" s="151"/>
      <c r="GU51" s="151"/>
      <c r="GV51" s="151"/>
      <c r="GW51" s="151"/>
      <c r="GX51" s="151"/>
      <c r="GY51" s="151"/>
      <c r="GZ51" s="151"/>
      <c r="HA51" s="151"/>
      <c r="HB51" s="151"/>
      <c r="HC51" s="151"/>
      <c r="HD51" s="151"/>
      <c r="HE51" s="151"/>
      <c r="HF51" s="151"/>
      <c r="HG51" s="151"/>
      <c r="HH51" s="151"/>
      <c r="HI51" s="151"/>
      <c r="HJ51" s="151"/>
      <c r="HK51" s="151"/>
      <c r="HL51" s="151"/>
      <c r="HM51" s="151"/>
      <c r="HN51" s="151"/>
      <c r="HO51" s="151"/>
      <c r="HP51" s="151"/>
      <c r="HQ51" s="151"/>
      <c r="HR51" s="151"/>
      <c r="HS51" s="151"/>
      <c r="HT51" s="151"/>
      <c r="HU51" s="151"/>
      <c r="HV51" s="151"/>
      <c r="HW51" s="151"/>
      <c r="HX51" s="151"/>
      <c r="HY51" s="151"/>
      <c r="HZ51" s="151"/>
      <c r="IA51" s="151"/>
      <c r="IB51" s="151"/>
      <c r="IC51" s="151"/>
      <c r="ID51" s="151"/>
      <c r="IE51" s="151"/>
      <c r="IF51" s="151"/>
      <c r="IG51" s="151"/>
      <c r="IH51" s="151"/>
      <c r="II51" s="151"/>
      <c r="IJ51" s="151"/>
      <c r="IK51" s="151"/>
      <c r="IL51" s="151"/>
      <c r="IM51" s="151"/>
      <c r="IN51" s="151"/>
      <c r="IO51" s="151"/>
      <c r="IP51" s="151"/>
      <c r="IQ51" s="151"/>
      <c r="IR51" s="151"/>
      <c r="IS51" s="151"/>
      <c r="IT51" s="151"/>
      <c r="IU51" s="151"/>
      <c r="IV51" s="151"/>
      <c r="IW51" s="151"/>
      <c r="IX51" s="151"/>
      <c r="IY51" s="151"/>
      <c r="IZ51" s="151"/>
      <c r="JA51" s="151"/>
      <c r="JB51" s="151"/>
      <c r="JC51" s="151"/>
      <c r="JD51" s="151"/>
      <c r="JE51" s="151"/>
      <c r="JF51" s="151"/>
      <c r="JG51" s="151"/>
    </row>
    <row r="52" spans="1:268" s="160" customFormat="1">
      <c r="A52" s="237" t="s">
        <v>1461</v>
      </c>
      <c r="B52" s="267">
        <v>13570</v>
      </c>
      <c r="C52" s="257"/>
      <c r="D52" s="258">
        <v>1790</v>
      </c>
      <c r="E52" s="258"/>
      <c r="F52" s="258">
        <f>B52-D52</f>
        <v>11780</v>
      </c>
      <c r="G52" s="233">
        <f>SUM(C52:F52)</f>
        <v>13570</v>
      </c>
      <c r="H52" s="277" t="s">
        <v>1440</v>
      </c>
      <c r="I52" s="270"/>
      <c r="J52" s="271"/>
      <c r="K52" s="229"/>
      <c r="L52" s="229"/>
      <c r="M52" s="229"/>
      <c r="N52" s="229"/>
      <c r="O52" s="229"/>
      <c r="P52" s="229"/>
      <c r="Q52" s="272"/>
      <c r="R52" s="275" t="s">
        <v>1462</v>
      </c>
      <c r="S52" s="155"/>
      <c r="T52" s="154"/>
      <c r="U52" s="155"/>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1"/>
      <c r="BR52" s="151"/>
      <c r="BS52" s="151"/>
      <c r="BT52" s="151"/>
      <c r="BU52" s="151"/>
      <c r="BV52" s="151"/>
      <c r="BW52" s="151"/>
      <c r="BX52" s="151"/>
      <c r="BY52" s="151"/>
      <c r="BZ52" s="151"/>
      <c r="CA52" s="151"/>
      <c r="CB52" s="151"/>
      <c r="CC52" s="151"/>
      <c r="CD52" s="151"/>
      <c r="CE52" s="151"/>
      <c r="CF52" s="151"/>
      <c r="CG52" s="151"/>
      <c r="CH52" s="151"/>
      <c r="CI52" s="151"/>
      <c r="CJ52" s="151"/>
      <c r="CK52" s="151"/>
      <c r="CL52" s="151"/>
      <c r="CM52" s="151"/>
      <c r="CN52" s="151"/>
      <c r="CO52" s="151"/>
      <c r="CP52" s="151"/>
      <c r="CQ52" s="151"/>
      <c r="CR52" s="151"/>
      <c r="CS52" s="151"/>
      <c r="CT52" s="151"/>
      <c r="CU52" s="151"/>
      <c r="CV52" s="151"/>
      <c r="CW52" s="151"/>
      <c r="CX52" s="151"/>
      <c r="CY52" s="151"/>
      <c r="CZ52" s="151"/>
      <c r="DA52" s="151"/>
      <c r="DB52" s="151"/>
      <c r="DC52" s="151"/>
      <c r="DD52" s="151"/>
      <c r="DE52" s="151"/>
      <c r="DF52" s="151"/>
      <c r="DG52" s="151"/>
      <c r="DH52" s="151"/>
      <c r="DI52" s="151"/>
      <c r="DJ52" s="151"/>
      <c r="DK52" s="151"/>
      <c r="DL52" s="151"/>
      <c r="DM52" s="151"/>
      <c r="DN52" s="151"/>
      <c r="DO52" s="151"/>
      <c r="DP52" s="151"/>
      <c r="DQ52" s="151"/>
      <c r="DR52" s="151"/>
      <c r="DS52" s="151"/>
      <c r="DT52" s="151"/>
      <c r="DU52" s="151"/>
      <c r="DV52" s="151"/>
      <c r="DW52" s="151"/>
      <c r="DX52" s="151"/>
      <c r="DY52" s="151"/>
      <c r="DZ52" s="151"/>
      <c r="EA52" s="151"/>
      <c r="EB52" s="151"/>
      <c r="EC52" s="151"/>
      <c r="ED52" s="151"/>
      <c r="EE52" s="151"/>
      <c r="EF52" s="151"/>
      <c r="EG52" s="151"/>
      <c r="EH52" s="151"/>
      <c r="EI52" s="151"/>
      <c r="EJ52" s="151"/>
      <c r="EK52" s="151"/>
      <c r="EL52" s="151"/>
      <c r="EM52" s="151"/>
      <c r="EN52" s="151"/>
      <c r="EO52" s="151"/>
      <c r="EP52" s="151"/>
      <c r="EQ52" s="151"/>
      <c r="ER52" s="151"/>
      <c r="ES52" s="151"/>
      <c r="ET52" s="151"/>
      <c r="EU52" s="151"/>
      <c r="EV52" s="151"/>
      <c r="EW52" s="151"/>
      <c r="EX52" s="151"/>
      <c r="EY52" s="151"/>
      <c r="EZ52" s="151"/>
      <c r="FA52" s="151"/>
      <c r="FB52" s="151"/>
      <c r="FC52" s="151"/>
      <c r="FD52" s="151"/>
      <c r="FE52" s="151"/>
      <c r="FF52" s="151"/>
      <c r="FG52" s="151"/>
      <c r="FH52" s="151"/>
      <c r="FI52" s="151"/>
      <c r="FJ52" s="151"/>
      <c r="FK52" s="151"/>
      <c r="FL52" s="151"/>
      <c r="FM52" s="151"/>
      <c r="FN52" s="151"/>
      <c r="FO52" s="151"/>
      <c r="FP52" s="151"/>
      <c r="FQ52" s="151"/>
      <c r="FR52" s="151"/>
      <c r="FS52" s="151"/>
      <c r="FT52" s="151"/>
      <c r="FU52" s="151"/>
      <c r="FV52" s="151"/>
      <c r="FW52" s="151"/>
      <c r="FX52" s="151"/>
      <c r="FY52" s="151"/>
      <c r="FZ52" s="151"/>
      <c r="GA52" s="151"/>
      <c r="GB52" s="151"/>
      <c r="GC52" s="151"/>
      <c r="GD52" s="151"/>
      <c r="GE52" s="151"/>
      <c r="GF52" s="151"/>
      <c r="GG52" s="151"/>
      <c r="GH52" s="151"/>
      <c r="GI52" s="151"/>
      <c r="GJ52" s="151"/>
      <c r="GK52" s="151"/>
      <c r="GL52" s="151"/>
      <c r="GM52" s="151"/>
      <c r="GN52" s="151"/>
      <c r="GO52" s="151"/>
      <c r="GP52" s="151"/>
      <c r="GQ52" s="151"/>
      <c r="GR52" s="151"/>
      <c r="GS52" s="151"/>
      <c r="GT52" s="151"/>
      <c r="GU52" s="151"/>
      <c r="GV52" s="151"/>
      <c r="GW52" s="151"/>
      <c r="GX52" s="151"/>
      <c r="GY52" s="151"/>
      <c r="GZ52" s="151"/>
      <c r="HA52" s="151"/>
      <c r="HB52" s="151"/>
      <c r="HC52" s="151"/>
      <c r="HD52" s="151"/>
      <c r="HE52" s="151"/>
      <c r="HF52" s="151"/>
      <c r="HG52" s="151"/>
      <c r="HH52" s="151"/>
      <c r="HI52" s="151"/>
      <c r="HJ52" s="151"/>
      <c r="HK52" s="151"/>
      <c r="HL52" s="151"/>
      <c r="HM52" s="151"/>
      <c r="HN52" s="151"/>
      <c r="HO52" s="151"/>
      <c r="HP52" s="151"/>
      <c r="HQ52" s="151"/>
      <c r="HR52" s="151"/>
      <c r="HS52" s="151"/>
      <c r="HT52" s="151"/>
      <c r="HU52" s="151"/>
      <c r="HV52" s="151"/>
      <c r="HW52" s="151"/>
      <c r="HX52" s="151"/>
      <c r="HY52" s="151"/>
      <c r="HZ52" s="151"/>
      <c r="IA52" s="151"/>
      <c r="IB52" s="151"/>
      <c r="IC52" s="151"/>
      <c r="ID52" s="151"/>
      <c r="IE52" s="151"/>
      <c r="IF52" s="151"/>
      <c r="IG52" s="151"/>
      <c r="IH52" s="151"/>
      <c r="II52" s="151"/>
      <c r="IJ52" s="151"/>
      <c r="IK52" s="151"/>
      <c r="IL52" s="151"/>
      <c r="IM52" s="151"/>
      <c r="IN52" s="151"/>
      <c r="IO52" s="151"/>
      <c r="IP52" s="151"/>
      <c r="IQ52" s="151"/>
      <c r="IR52" s="151"/>
      <c r="IS52" s="151"/>
      <c r="IT52" s="151"/>
      <c r="IU52" s="151"/>
      <c r="IV52" s="151"/>
      <c r="IW52" s="151"/>
      <c r="IX52" s="151"/>
      <c r="IY52" s="151"/>
      <c r="IZ52" s="151"/>
      <c r="JA52" s="151"/>
      <c r="JB52" s="151"/>
      <c r="JC52" s="151"/>
      <c r="JD52" s="151"/>
      <c r="JE52" s="151"/>
      <c r="JF52" s="151"/>
      <c r="JG52" s="151"/>
    </row>
    <row r="53" spans="1:268" s="160" customFormat="1">
      <c r="A53" s="237" t="s">
        <v>1463</v>
      </c>
      <c r="B53" s="267">
        <v>62002.1</v>
      </c>
      <c r="C53" s="257">
        <v>13948.45</v>
      </c>
      <c r="D53" s="258">
        <v>1998.58</v>
      </c>
      <c r="E53" s="258">
        <v>4640.8999999999996</v>
      </c>
      <c r="F53" s="258">
        <v>41414.17</v>
      </c>
      <c r="G53" s="233">
        <f>SUM(C53:F53)</f>
        <v>62002.1</v>
      </c>
      <c r="H53" s="394" t="s">
        <v>1440</v>
      </c>
      <c r="I53" s="270"/>
      <c r="J53" s="271"/>
      <c r="K53" s="229"/>
      <c r="L53" s="229"/>
      <c r="M53" s="229"/>
      <c r="N53" s="229"/>
      <c r="O53" s="229"/>
      <c r="P53" s="229"/>
      <c r="Q53" s="272"/>
      <c r="R53" s="275"/>
      <c r="S53" s="155"/>
      <c r="T53" s="154"/>
      <c r="U53" s="155"/>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1"/>
      <c r="BR53" s="151"/>
      <c r="BS53" s="151"/>
      <c r="BT53" s="151"/>
      <c r="BU53" s="151"/>
      <c r="BV53" s="151"/>
      <c r="BW53" s="151"/>
      <c r="BX53" s="151"/>
      <c r="BY53" s="151"/>
      <c r="BZ53" s="151"/>
      <c r="CA53" s="151"/>
      <c r="CB53" s="151"/>
      <c r="CC53" s="151"/>
      <c r="CD53" s="151"/>
      <c r="CE53" s="151"/>
      <c r="CF53" s="151"/>
      <c r="CG53" s="151"/>
      <c r="CH53" s="151"/>
      <c r="CI53" s="151"/>
      <c r="CJ53" s="151"/>
      <c r="CK53" s="151"/>
      <c r="CL53" s="151"/>
      <c r="CM53" s="151"/>
      <c r="CN53" s="151"/>
      <c r="CO53" s="151"/>
      <c r="CP53" s="151"/>
      <c r="CQ53" s="151"/>
      <c r="CR53" s="151"/>
      <c r="CS53" s="151"/>
      <c r="CT53" s="151"/>
      <c r="CU53" s="151"/>
      <c r="CV53" s="151"/>
      <c r="CW53" s="151"/>
      <c r="CX53" s="151"/>
      <c r="CY53" s="151"/>
      <c r="CZ53" s="151"/>
      <c r="DA53" s="151"/>
      <c r="DB53" s="151"/>
      <c r="DC53" s="151"/>
      <c r="DD53" s="151"/>
      <c r="DE53" s="151"/>
      <c r="DF53" s="151"/>
      <c r="DG53" s="151"/>
      <c r="DH53" s="151"/>
      <c r="DI53" s="151"/>
      <c r="DJ53" s="151"/>
      <c r="DK53" s="151"/>
      <c r="DL53" s="151"/>
      <c r="DM53" s="151"/>
      <c r="DN53" s="151"/>
      <c r="DO53" s="151"/>
      <c r="DP53" s="151"/>
      <c r="DQ53" s="151"/>
      <c r="DR53" s="151"/>
      <c r="DS53" s="151"/>
      <c r="DT53" s="151"/>
      <c r="DU53" s="151"/>
      <c r="DV53" s="151"/>
      <c r="DW53" s="151"/>
      <c r="DX53" s="151"/>
      <c r="DY53" s="151"/>
      <c r="DZ53" s="151"/>
      <c r="EA53" s="151"/>
      <c r="EB53" s="151"/>
      <c r="EC53" s="151"/>
      <c r="ED53" s="151"/>
      <c r="EE53" s="151"/>
      <c r="EF53" s="151"/>
      <c r="EG53" s="151"/>
      <c r="EH53" s="151"/>
      <c r="EI53" s="151"/>
      <c r="EJ53" s="151"/>
      <c r="EK53" s="151"/>
      <c r="EL53" s="151"/>
      <c r="EM53" s="151"/>
      <c r="EN53" s="151"/>
      <c r="EO53" s="151"/>
      <c r="EP53" s="151"/>
      <c r="EQ53" s="151"/>
      <c r="ER53" s="151"/>
      <c r="ES53" s="151"/>
      <c r="ET53" s="151"/>
      <c r="EU53" s="151"/>
      <c r="EV53" s="151"/>
      <c r="EW53" s="151"/>
      <c r="EX53" s="151"/>
      <c r="EY53" s="151"/>
      <c r="EZ53" s="151"/>
      <c r="FA53" s="151"/>
      <c r="FB53" s="151"/>
      <c r="FC53" s="151"/>
      <c r="FD53" s="151"/>
      <c r="FE53" s="151"/>
      <c r="FF53" s="151"/>
      <c r="FG53" s="151"/>
      <c r="FH53" s="151"/>
      <c r="FI53" s="151"/>
      <c r="FJ53" s="151"/>
      <c r="FK53" s="151"/>
      <c r="FL53" s="151"/>
      <c r="FM53" s="151"/>
      <c r="FN53" s="151"/>
      <c r="FO53" s="151"/>
      <c r="FP53" s="151"/>
      <c r="FQ53" s="151"/>
      <c r="FR53" s="151"/>
      <c r="FS53" s="151"/>
      <c r="FT53" s="151"/>
      <c r="FU53" s="151"/>
      <c r="FV53" s="151"/>
      <c r="FW53" s="151"/>
      <c r="FX53" s="151"/>
      <c r="FY53" s="151"/>
      <c r="FZ53" s="151"/>
      <c r="GA53" s="151"/>
      <c r="GB53" s="151"/>
      <c r="GC53" s="151"/>
      <c r="GD53" s="151"/>
      <c r="GE53" s="151"/>
      <c r="GF53" s="151"/>
      <c r="GG53" s="151"/>
      <c r="GH53" s="151"/>
      <c r="GI53" s="151"/>
      <c r="GJ53" s="151"/>
      <c r="GK53" s="151"/>
      <c r="GL53" s="151"/>
      <c r="GM53" s="151"/>
      <c r="GN53" s="151"/>
      <c r="GO53" s="151"/>
      <c r="GP53" s="151"/>
      <c r="GQ53" s="151"/>
      <c r="GR53" s="151"/>
      <c r="GS53" s="151"/>
      <c r="GT53" s="151"/>
      <c r="GU53" s="151"/>
      <c r="GV53" s="151"/>
      <c r="GW53" s="151"/>
      <c r="GX53" s="151"/>
      <c r="GY53" s="151"/>
      <c r="GZ53" s="151"/>
      <c r="HA53" s="151"/>
      <c r="HB53" s="151"/>
      <c r="HC53" s="151"/>
      <c r="HD53" s="151"/>
      <c r="HE53" s="151"/>
      <c r="HF53" s="151"/>
      <c r="HG53" s="151"/>
      <c r="HH53" s="151"/>
      <c r="HI53" s="151"/>
      <c r="HJ53" s="151"/>
      <c r="HK53" s="151"/>
      <c r="HL53" s="151"/>
      <c r="HM53" s="151"/>
      <c r="HN53" s="151"/>
      <c r="HO53" s="151"/>
      <c r="HP53" s="151"/>
      <c r="HQ53" s="151"/>
      <c r="HR53" s="151"/>
      <c r="HS53" s="151"/>
      <c r="HT53" s="151"/>
      <c r="HU53" s="151"/>
      <c r="HV53" s="151"/>
      <c r="HW53" s="151"/>
      <c r="HX53" s="151"/>
      <c r="HY53" s="151"/>
      <c r="HZ53" s="151"/>
      <c r="IA53" s="151"/>
      <c r="IB53" s="151"/>
      <c r="IC53" s="151"/>
      <c r="ID53" s="151"/>
      <c r="IE53" s="151"/>
      <c r="IF53" s="151"/>
      <c r="IG53" s="151"/>
      <c r="IH53" s="151"/>
      <c r="II53" s="151"/>
      <c r="IJ53" s="151"/>
      <c r="IK53" s="151"/>
      <c r="IL53" s="151"/>
      <c r="IM53" s="151"/>
      <c r="IN53" s="151"/>
      <c r="IO53" s="151"/>
      <c r="IP53" s="151"/>
      <c r="IQ53" s="151"/>
      <c r="IR53" s="151"/>
      <c r="IS53" s="151"/>
      <c r="IT53" s="151"/>
      <c r="IU53" s="151"/>
      <c r="IV53" s="151"/>
      <c r="IW53" s="151"/>
      <c r="IX53" s="151"/>
      <c r="IY53" s="151"/>
      <c r="IZ53" s="151"/>
      <c r="JA53" s="151"/>
      <c r="JB53" s="151"/>
      <c r="JC53" s="151"/>
      <c r="JD53" s="151"/>
      <c r="JE53" s="151"/>
      <c r="JF53" s="151"/>
      <c r="JG53" s="151"/>
    </row>
    <row r="54" spans="1:268" s="160" customFormat="1">
      <c r="A54" s="237" t="s">
        <v>905</v>
      </c>
      <c r="B54" s="267">
        <v>328255.46000000002</v>
      </c>
      <c r="C54" s="257">
        <f>$B54*C$115</f>
        <v>46822.109034114852</v>
      </c>
      <c r="D54" s="258">
        <f>$B54*D$115</f>
        <v>11190.423619635763</v>
      </c>
      <c r="E54" s="258">
        <f>$B54*$E$115</f>
        <v>17563.653890282316</v>
      </c>
      <c r="F54" s="258">
        <f>$B54*$F$115</f>
        <v>252679.27345596708</v>
      </c>
      <c r="G54" s="233">
        <f t="shared" si="2"/>
        <v>328255.46000000002</v>
      </c>
      <c r="H54" s="277" t="s">
        <v>1440</v>
      </c>
      <c r="I54" s="270"/>
      <c r="J54" s="271"/>
      <c r="K54" s="229"/>
      <c r="L54" s="229"/>
      <c r="M54" s="229"/>
      <c r="N54" s="229"/>
      <c r="O54" s="229"/>
      <c r="P54" s="229"/>
      <c r="Q54" s="272"/>
      <c r="R54" s="273"/>
      <c r="S54" s="155"/>
      <c r="T54" s="154"/>
      <c r="U54" s="155"/>
      <c r="V54" s="164"/>
    </row>
    <row r="55" spans="1:268" s="160" customFormat="1">
      <c r="A55" s="237" t="s">
        <v>906</v>
      </c>
      <c r="B55" s="267">
        <v>1881.34</v>
      </c>
      <c r="C55" s="257">
        <f>$B55*C$115</f>
        <v>268.35290602703645</v>
      </c>
      <c r="D55" s="258">
        <f>$B55*$D$115</f>
        <v>64.135998141708114</v>
      </c>
      <c r="E55" s="258">
        <f>$B55*$E$115</f>
        <v>100.66307689122286</v>
      </c>
      <c r="F55" s="258">
        <f>$B55*$F$115</f>
        <v>1448.1880189400324</v>
      </c>
      <c r="G55" s="233">
        <f t="shared" ref="G55:G60" si="6">SUM(C55:F55)</f>
        <v>1881.3399999999997</v>
      </c>
      <c r="H55" s="277" t="s">
        <v>1440</v>
      </c>
      <c r="I55" s="270"/>
      <c r="J55" s="271"/>
      <c r="K55" s="229"/>
      <c r="L55" s="229"/>
      <c r="M55" s="229"/>
      <c r="N55" s="229"/>
      <c r="O55" s="229"/>
      <c r="P55" s="229"/>
      <c r="Q55" s="272"/>
      <c r="R55" s="165"/>
      <c r="S55" s="155"/>
      <c r="U55" s="155"/>
      <c r="V55" s="164"/>
    </row>
    <row r="56" spans="1:268">
      <c r="A56" s="237" t="s">
        <v>907</v>
      </c>
      <c r="B56" s="267">
        <v>33502.15</v>
      </c>
      <c r="C56" s="257">
        <v>0</v>
      </c>
      <c r="D56" s="258">
        <v>0</v>
      </c>
      <c r="E56" s="258">
        <v>0</v>
      </c>
      <c r="F56" s="258">
        <f>B56</f>
        <v>33502.15</v>
      </c>
      <c r="G56" s="233">
        <f t="shared" si="6"/>
        <v>33502.15</v>
      </c>
      <c r="H56" s="277" t="s">
        <v>1440</v>
      </c>
      <c r="I56" s="270"/>
      <c r="J56" s="271"/>
      <c r="K56" s="229"/>
      <c r="L56" s="229"/>
      <c r="M56" s="229"/>
      <c r="N56" s="229"/>
      <c r="O56" s="229"/>
      <c r="P56" s="229"/>
      <c r="Q56" s="272"/>
      <c r="R56" s="165"/>
      <c r="S56" s="155"/>
      <c r="T56" s="154"/>
      <c r="U56" s="155"/>
    </row>
    <row r="57" spans="1:268" s="160" customFormat="1">
      <c r="A57" s="237" t="s">
        <v>908</v>
      </c>
      <c r="B57" s="267">
        <v>56821.8</v>
      </c>
      <c r="C57" s="257">
        <v>0</v>
      </c>
      <c r="D57" s="258">
        <v>0</v>
      </c>
      <c r="E57" s="258">
        <v>0</v>
      </c>
      <c r="F57" s="258">
        <f>B57</f>
        <v>56821.8</v>
      </c>
      <c r="G57" s="233">
        <f t="shared" si="6"/>
        <v>56821.8</v>
      </c>
      <c r="H57" s="277" t="s">
        <v>1440</v>
      </c>
      <c r="I57" s="270"/>
      <c r="J57" s="271"/>
      <c r="K57" s="229"/>
      <c r="L57" s="229"/>
      <c r="M57" s="229"/>
      <c r="N57" s="229"/>
      <c r="O57" s="229"/>
      <c r="P57" s="229"/>
      <c r="Q57" s="272"/>
      <c r="R57" s="165"/>
      <c r="S57" s="155"/>
      <c r="T57" s="154"/>
      <c r="U57" s="155"/>
      <c r="V57" s="151"/>
    </row>
    <row r="58" spans="1:268" s="160" customFormat="1">
      <c r="A58" s="237" t="s">
        <v>1464</v>
      </c>
      <c r="B58" s="267">
        <v>33140.800000000003</v>
      </c>
      <c r="C58" s="257">
        <v>0</v>
      </c>
      <c r="D58" s="258">
        <v>0</v>
      </c>
      <c r="E58" s="258">
        <v>0</v>
      </c>
      <c r="F58" s="258">
        <f>B58</f>
        <v>33140.800000000003</v>
      </c>
      <c r="G58" s="233">
        <f t="shared" si="6"/>
        <v>33140.800000000003</v>
      </c>
      <c r="H58" s="277" t="s">
        <v>1440</v>
      </c>
      <c r="I58" s="271"/>
      <c r="J58" s="271"/>
      <c r="K58" s="229"/>
      <c r="L58" s="229"/>
      <c r="M58" s="229"/>
      <c r="N58" s="229"/>
      <c r="O58" s="229"/>
      <c r="P58" s="229"/>
      <c r="Q58" s="271"/>
      <c r="R58" s="165"/>
      <c r="S58" s="155"/>
      <c r="T58" s="154"/>
      <c r="U58" s="155"/>
      <c r="V58" s="164"/>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c r="BI58" s="151"/>
      <c r="BJ58" s="151"/>
      <c r="BK58" s="151"/>
      <c r="BL58" s="151"/>
      <c r="BM58" s="151"/>
      <c r="BN58" s="151"/>
      <c r="BO58" s="151"/>
      <c r="BP58" s="151"/>
      <c r="BQ58" s="151"/>
      <c r="BR58" s="151"/>
      <c r="BS58" s="151"/>
      <c r="BT58" s="151"/>
      <c r="BU58" s="151"/>
      <c r="BV58" s="151"/>
      <c r="BW58" s="151"/>
      <c r="BX58" s="151"/>
      <c r="BY58" s="151"/>
      <c r="BZ58" s="151"/>
      <c r="CA58" s="151"/>
      <c r="CB58" s="151"/>
      <c r="CC58" s="151"/>
      <c r="CD58" s="151"/>
      <c r="CE58" s="151"/>
      <c r="CF58" s="151"/>
      <c r="CG58" s="151"/>
      <c r="CH58" s="151"/>
      <c r="CI58" s="151"/>
      <c r="CJ58" s="151"/>
      <c r="CK58" s="151"/>
      <c r="CL58" s="151"/>
      <c r="CM58" s="151"/>
      <c r="CN58" s="151"/>
      <c r="CO58" s="151"/>
      <c r="CP58" s="151"/>
      <c r="CQ58" s="151"/>
      <c r="CR58" s="151"/>
      <c r="CS58" s="151"/>
      <c r="CT58" s="151"/>
      <c r="CU58" s="151"/>
      <c r="CV58" s="151"/>
      <c r="CW58" s="151"/>
      <c r="CX58" s="151"/>
      <c r="CY58" s="151"/>
      <c r="CZ58" s="151"/>
      <c r="DA58" s="151"/>
      <c r="DB58" s="151"/>
      <c r="DC58" s="151"/>
      <c r="DD58" s="151"/>
      <c r="DE58" s="151"/>
      <c r="DF58" s="151"/>
      <c r="DG58" s="151"/>
      <c r="DH58" s="151"/>
      <c r="DI58" s="151"/>
      <c r="DJ58" s="151"/>
      <c r="DK58" s="151"/>
      <c r="DL58" s="151"/>
      <c r="DM58" s="151"/>
      <c r="DN58" s="151"/>
      <c r="DO58" s="151"/>
      <c r="DP58" s="151"/>
      <c r="DQ58" s="151"/>
      <c r="DR58" s="151"/>
      <c r="DS58" s="151"/>
      <c r="DT58" s="151"/>
      <c r="DU58" s="151"/>
      <c r="DV58" s="151"/>
      <c r="DW58" s="151"/>
      <c r="DX58" s="151"/>
      <c r="DY58" s="151"/>
      <c r="DZ58" s="151"/>
      <c r="EA58" s="151"/>
      <c r="EB58" s="151"/>
      <c r="EC58" s="151"/>
      <c r="ED58" s="151"/>
      <c r="EE58" s="151"/>
      <c r="EF58" s="151"/>
      <c r="EG58" s="151"/>
      <c r="EH58" s="151"/>
      <c r="EI58" s="151"/>
      <c r="EJ58" s="151"/>
      <c r="EK58" s="151"/>
      <c r="EL58" s="151"/>
      <c r="EM58" s="151"/>
      <c r="EN58" s="151"/>
      <c r="EO58" s="151"/>
      <c r="EP58" s="151"/>
      <c r="EQ58" s="151"/>
      <c r="ER58" s="151"/>
      <c r="ES58" s="151"/>
      <c r="ET58" s="151"/>
      <c r="EU58" s="151"/>
      <c r="EV58" s="151"/>
      <c r="EW58" s="151"/>
      <c r="EX58" s="151"/>
      <c r="EY58" s="151"/>
      <c r="EZ58" s="151"/>
      <c r="FA58" s="151"/>
      <c r="FB58" s="151"/>
      <c r="FC58" s="151"/>
      <c r="FD58" s="151"/>
      <c r="FE58" s="151"/>
      <c r="FF58" s="151"/>
      <c r="FG58" s="151"/>
      <c r="FH58" s="151"/>
      <c r="FI58" s="151"/>
      <c r="FJ58" s="151"/>
      <c r="FK58" s="151"/>
      <c r="FL58" s="151"/>
      <c r="FM58" s="151"/>
      <c r="FN58" s="151"/>
      <c r="FO58" s="151"/>
      <c r="FP58" s="151"/>
      <c r="FQ58" s="151"/>
      <c r="FR58" s="151"/>
      <c r="FS58" s="151"/>
      <c r="FT58" s="151"/>
      <c r="FU58" s="151"/>
      <c r="FV58" s="151"/>
      <c r="FW58" s="151"/>
      <c r="FX58" s="151"/>
      <c r="FY58" s="151"/>
      <c r="FZ58" s="151"/>
      <c r="GA58" s="151"/>
      <c r="GB58" s="151"/>
      <c r="GC58" s="151"/>
      <c r="GD58" s="151"/>
      <c r="GE58" s="151"/>
      <c r="GF58" s="151"/>
      <c r="GG58" s="151"/>
      <c r="GH58" s="151"/>
      <c r="GI58" s="151"/>
      <c r="GJ58" s="151"/>
      <c r="GK58" s="151"/>
      <c r="GL58" s="151"/>
      <c r="GM58" s="151"/>
      <c r="GN58" s="151"/>
      <c r="GO58" s="151"/>
      <c r="GP58" s="151"/>
      <c r="GQ58" s="151"/>
      <c r="GR58" s="151"/>
      <c r="GS58" s="151"/>
      <c r="GT58" s="151"/>
      <c r="GU58" s="151"/>
      <c r="GV58" s="151"/>
      <c r="GW58" s="151"/>
      <c r="GX58" s="151"/>
      <c r="GY58" s="151"/>
      <c r="GZ58" s="151"/>
      <c r="HA58" s="151"/>
      <c r="HB58" s="151"/>
      <c r="HC58" s="151"/>
      <c r="HD58" s="151"/>
      <c r="HE58" s="151"/>
      <c r="HF58" s="151"/>
      <c r="HG58" s="151"/>
      <c r="HH58" s="151"/>
      <c r="HI58" s="151"/>
      <c r="HJ58" s="151"/>
      <c r="HK58" s="151"/>
      <c r="HL58" s="151"/>
      <c r="HM58" s="151"/>
      <c r="HN58" s="151"/>
      <c r="HO58" s="151"/>
      <c r="HP58" s="151"/>
      <c r="HQ58" s="151"/>
      <c r="HR58" s="151"/>
      <c r="HS58" s="151"/>
      <c r="HT58" s="151"/>
      <c r="HU58" s="151"/>
      <c r="HV58" s="151"/>
      <c r="HW58" s="151"/>
      <c r="HX58" s="151"/>
      <c r="HY58" s="151"/>
      <c r="HZ58" s="151"/>
      <c r="IA58" s="151"/>
      <c r="IB58" s="151"/>
      <c r="IC58" s="151"/>
      <c r="ID58" s="151"/>
      <c r="IE58" s="151"/>
      <c r="IF58" s="151"/>
      <c r="IG58" s="151"/>
      <c r="IH58" s="151"/>
      <c r="II58" s="151"/>
      <c r="IJ58" s="151"/>
      <c r="IK58" s="151"/>
      <c r="IL58" s="151"/>
      <c r="IM58" s="151"/>
      <c r="IN58" s="151"/>
      <c r="IO58" s="151"/>
      <c r="IP58" s="151"/>
      <c r="IQ58" s="151"/>
      <c r="IR58" s="151"/>
      <c r="IS58" s="151"/>
      <c r="IT58" s="151"/>
      <c r="IU58" s="151"/>
      <c r="IV58" s="151"/>
      <c r="IW58" s="151"/>
      <c r="IX58" s="151"/>
      <c r="IY58" s="151"/>
      <c r="IZ58" s="151"/>
      <c r="JA58" s="151"/>
      <c r="JB58" s="151"/>
      <c r="JC58" s="151"/>
      <c r="JD58" s="151"/>
      <c r="JE58" s="151"/>
      <c r="JF58" s="151"/>
      <c r="JG58" s="151"/>
      <c r="JH58" s="151"/>
    </row>
    <row r="59" spans="1:268" s="160" customFormat="1">
      <c r="A59" s="237" t="s">
        <v>1465</v>
      </c>
      <c r="B59" s="267">
        <v>19950</v>
      </c>
      <c r="C59" s="257">
        <v>9975</v>
      </c>
      <c r="D59" s="258">
        <v>0</v>
      </c>
      <c r="E59" s="258">
        <v>0</v>
      </c>
      <c r="F59" s="258">
        <v>9975</v>
      </c>
      <c r="G59" s="233">
        <f t="shared" si="6"/>
        <v>19950</v>
      </c>
      <c r="H59" s="277" t="s">
        <v>1440</v>
      </c>
      <c r="I59" s="271"/>
      <c r="J59" s="271"/>
      <c r="K59" s="229"/>
      <c r="L59" s="229"/>
      <c r="M59" s="229"/>
      <c r="N59" s="229"/>
      <c r="O59" s="229"/>
      <c r="P59" s="229"/>
      <c r="Q59" s="271"/>
      <c r="R59" s="165"/>
      <c r="S59" s="155"/>
      <c r="T59" s="154"/>
      <c r="U59" s="155"/>
      <c r="V59" s="164"/>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c r="BM59" s="151"/>
      <c r="BN59" s="151"/>
      <c r="BO59" s="151"/>
      <c r="BP59" s="151"/>
      <c r="BQ59" s="151"/>
      <c r="BR59" s="151"/>
      <c r="BS59" s="151"/>
      <c r="BT59" s="151"/>
      <c r="BU59" s="151"/>
      <c r="BV59" s="151"/>
      <c r="BW59" s="151"/>
      <c r="BX59" s="151"/>
      <c r="BY59" s="151"/>
      <c r="BZ59" s="151"/>
      <c r="CA59" s="151"/>
      <c r="CB59" s="151"/>
      <c r="CC59" s="151"/>
      <c r="CD59" s="151"/>
      <c r="CE59" s="151"/>
      <c r="CF59" s="151"/>
      <c r="CG59" s="151"/>
      <c r="CH59" s="151"/>
      <c r="CI59" s="151"/>
      <c r="CJ59" s="151"/>
      <c r="CK59" s="151"/>
      <c r="CL59" s="151"/>
      <c r="CM59" s="151"/>
      <c r="CN59" s="151"/>
      <c r="CO59" s="151"/>
      <c r="CP59" s="151"/>
      <c r="CQ59" s="151"/>
      <c r="CR59" s="151"/>
      <c r="CS59" s="151"/>
      <c r="CT59" s="151"/>
      <c r="CU59" s="151"/>
      <c r="CV59" s="151"/>
      <c r="CW59" s="151"/>
      <c r="CX59" s="151"/>
      <c r="CY59" s="151"/>
      <c r="CZ59" s="151"/>
      <c r="DA59" s="151"/>
      <c r="DB59" s="151"/>
      <c r="DC59" s="151"/>
      <c r="DD59" s="151"/>
      <c r="DE59" s="151"/>
      <c r="DF59" s="151"/>
      <c r="DG59" s="151"/>
      <c r="DH59" s="151"/>
      <c r="DI59" s="151"/>
      <c r="DJ59" s="151"/>
      <c r="DK59" s="151"/>
      <c r="DL59" s="151"/>
      <c r="DM59" s="151"/>
      <c r="DN59" s="151"/>
      <c r="DO59" s="151"/>
      <c r="DP59" s="151"/>
      <c r="DQ59" s="151"/>
      <c r="DR59" s="151"/>
      <c r="DS59" s="151"/>
      <c r="DT59" s="151"/>
      <c r="DU59" s="151"/>
      <c r="DV59" s="151"/>
      <c r="DW59" s="151"/>
      <c r="DX59" s="151"/>
      <c r="DY59" s="151"/>
      <c r="DZ59" s="151"/>
      <c r="EA59" s="151"/>
      <c r="EB59" s="151"/>
      <c r="EC59" s="151"/>
      <c r="ED59" s="151"/>
      <c r="EE59" s="151"/>
      <c r="EF59" s="151"/>
      <c r="EG59" s="151"/>
      <c r="EH59" s="151"/>
      <c r="EI59" s="151"/>
      <c r="EJ59" s="151"/>
      <c r="EK59" s="151"/>
      <c r="EL59" s="151"/>
      <c r="EM59" s="151"/>
      <c r="EN59" s="151"/>
      <c r="EO59" s="151"/>
      <c r="EP59" s="151"/>
      <c r="EQ59" s="151"/>
      <c r="ER59" s="151"/>
      <c r="ES59" s="151"/>
      <c r="ET59" s="151"/>
      <c r="EU59" s="151"/>
      <c r="EV59" s="151"/>
      <c r="EW59" s="151"/>
      <c r="EX59" s="151"/>
      <c r="EY59" s="151"/>
      <c r="EZ59" s="151"/>
      <c r="FA59" s="151"/>
      <c r="FB59" s="151"/>
      <c r="FC59" s="151"/>
      <c r="FD59" s="151"/>
      <c r="FE59" s="151"/>
      <c r="FF59" s="151"/>
      <c r="FG59" s="151"/>
      <c r="FH59" s="151"/>
      <c r="FI59" s="151"/>
      <c r="FJ59" s="151"/>
      <c r="FK59" s="151"/>
      <c r="FL59" s="151"/>
      <c r="FM59" s="151"/>
      <c r="FN59" s="151"/>
      <c r="FO59" s="151"/>
      <c r="FP59" s="151"/>
      <c r="FQ59" s="151"/>
      <c r="FR59" s="151"/>
      <c r="FS59" s="151"/>
      <c r="FT59" s="151"/>
      <c r="FU59" s="151"/>
      <c r="FV59" s="151"/>
      <c r="FW59" s="151"/>
      <c r="FX59" s="151"/>
      <c r="FY59" s="151"/>
      <c r="FZ59" s="151"/>
      <c r="GA59" s="151"/>
      <c r="GB59" s="151"/>
      <c r="GC59" s="151"/>
      <c r="GD59" s="151"/>
      <c r="GE59" s="151"/>
      <c r="GF59" s="151"/>
      <c r="GG59" s="151"/>
      <c r="GH59" s="151"/>
      <c r="GI59" s="151"/>
      <c r="GJ59" s="151"/>
      <c r="GK59" s="151"/>
      <c r="GL59" s="151"/>
      <c r="GM59" s="151"/>
      <c r="GN59" s="151"/>
      <c r="GO59" s="151"/>
      <c r="GP59" s="151"/>
      <c r="GQ59" s="151"/>
      <c r="GR59" s="151"/>
      <c r="GS59" s="151"/>
      <c r="GT59" s="151"/>
      <c r="GU59" s="151"/>
      <c r="GV59" s="151"/>
      <c r="GW59" s="151"/>
      <c r="GX59" s="151"/>
      <c r="GY59" s="151"/>
      <c r="GZ59" s="151"/>
      <c r="HA59" s="151"/>
      <c r="HB59" s="151"/>
      <c r="HC59" s="151"/>
      <c r="HD59" s="151"/>
      <c r="HE59" s="151"/>
      <c r="HF59" s="151"/>
      <c r="HG59" s="151"/>
      <c r="HH59" s="151"/>
      <c r="HI59" s="151"/>
      <c r="HJ59" s="151"/>
      <c r="HK59" s="151"/>
      <c r="HL59" s="151"/>
      <c r="HM59" s="151"/>
      <c r="HN59" s="151"/>
      <c r="HO59" s="151"/>
      <c r="HP59" s="151"/>
      <c r="HQ59" s="151"/>
      <c r="HR59" s="151"/>
      <c r="HS59" s="151"/>
      <c r="HT59" s="151"/>
      <c r="HU59" s="151"/>
      <c r="HV59" s="151"/>
      <c r="HW59" s="151"/>
      <c r="HX59" s="151"/>
      <c r="HY59" s="151"/>
      <c r="HZ59" s="151"/>
      <c r="IA59" s="151"/>
      <c r="IB59" s="151"/>
      <c r="IC59" s="151"/>
      <c r="ID59" s="151"/>
      <c r="IE59" s="151"/>
      <c r="IF59" s="151"/>
      <c r="IG59" s="151"/>
      <c r="IH59" s="151"/>
      <c r="II59" s="151"/>
      <c r="IJ59" s="151"/>
      <c r="IK59" s="151"/>
      <c r="IL59" s="151"/>
      <c r="IM59" s="151"/>
      <c r="IN59" s="151"/>
      <c r="IO59" s="151"/>
      <c r="IP59" s="151"/>
      <c r="IQ59" s="151"/>
      <c r="IR59" s="151"/>
      <c r="IS59" s="151"/>
      <c r="IT59" s="151"/>
      <c r="IU59" s="151"/>
      <c r="IV59" s="151"/>
      <c r="IW59" s="151"/>
      <c r="IX59" s="151"/>
      <c r="IY59" s="151"/>
      <c r="IZ59" s="151"/>
      <c r="JA59" s="151"/>
      <c r="JB59" s="151"/>
      <c r="JC59" s="151"/>
      <c r="JD59" s="151"/>
      <c r="JE59" s="151"/>
      <c r="JF59" s="151"/>
      <c r="JG59" s="151"/>
      <c r="JH59" s="151"/>
    </row>
    <row r="60" spans="1:268" s="160" customFormat="1">
      <c r="A60" s="237" t="s">
        <v>1466</v>
      </c>
      <c r="B60" s="267">
        <v>36044</v>
      </c>
      <c r="C60" s="257">
        <f>$B60*C$115</f>
        <v>5141.2887329448704</v>
      </c>
      <c r="D60" s="258">
        <f>$B60*$D$115</f>
        <v>1228.7613706293002</v>
      </c>
      <c r="E60" s="258">
        <f>$B60*$E$115</f>
        <v>1928.5721578594178</v>
      </c>
      <c r="F60" s="258">
        <f>$B60*$F$115</f>
        <v>27745.377738566411</v>
      </c>
      <c r="G60" s="233">
        <f t="shared" si="6"/>
        <v>36044</v>
      </c>
      <c r="H60" s="394" t="s">
        <v>899</v>
      </c>
      <c r="I60" s="270"/>
      <c r="J60" s="271"/>
      <c r="K60" s="229"/>
      <c r="L60" s="229"/>
      <c r="M60" s="229"/>
      <c r="N60" s="229"/>
      <c r="O60" s="229"/>
      <c r="P60" s="229"/>
      <c r="Q60" s="272"/>
      <c r="R60" s="273"/>
      <c r="S60" s="155"/>
      <c r="T60" s="154"/>
      <c r="U60" s="155"/>
      <c r="V60" s="164"/>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c r="BI60" s="151"/>
      <c r="BJ60" s="151"/>
      <c r="BK60" s="151"/>
      <c r="BL60" s="151"/>
      <c r="BM60" s="151"/>
      <c r="BN60" s="151"/>
      <c r="BO60" s="151"/>
      <c r="BP60" s="151"/>
      <c r="BQ60" s="151"/>
      <c r="BR60" s="151"/>
      <c r="BS60" s="151"/>
      <c r="BT60" s="151"/>
      <c r="BU60" s="151"/>
      <c r="BV60" s="151"/>
      <c r="BW60" s="151"/>
      <c r="BX60" s="151"/>
      <c r="BY60" s="151"/>
      <c r="BZ60" s="151"/>
      <c r="CA60" s="151"/>
      <c r="CB60" s="151"/>
      <c r="CC60" s="151"/>
      <c r="CD60" s="151"/>
      <c r="CE60" s="151"/>
      <c r="CF60" s="151"/>
      <c r="CG60" s="151"/>
      <c r="CH60" s="151"/>
      <c r="CI60" s="151"/>
      <c r="CJ60" s="151"/>
      <c r="CK60" s="151"/>
      <c r="CL60" s="151"/>
      <c r="CM60" s="151"/>
      <c r="CN60" s="151"/>
      <c r="CO60" s="151"/>
      <c r="CP60" s="151"/>
      <c r="CQ60" s="151"/>
      <c r="CR60" s="151"/>
      <c r="CS60" s="151"/>
      <c r="CT60" s="151"/>
      <c r="CU60" s="151"/>
      <c r="CV60" s="151"/>
      <c r="CW60" s="151"/>
      <c r="CX60" s="151"/>
      <c r="CY60" s="151"/>
      <c r="CZ60" s="151"/>
      <c r="DA60" s="151"/>
      <c r="DB60" s="151"/>
      <c r="DC60" s="151"/>
      <c r="DD60" s="151"/>
      <c r="DE60" s="151"/>
      <c r="DF60" s="151"/>
      <c r="DG60" s="151"/>
      <c r="DH60" s="151"/>
      <c r="DI60" s="151"/>
      <c r="DJ60" s="151"/>
      <c r="DK60" s="151"/>
      <c r="DL60" s="151"/>
      <c r="DM60" s="151"/>
      <c r="DN60" s="151"/>
      <c r="DO60" s="151"/>
      <c r="DP60" s="151"/>
      <c r="DQ60" s="151"/>
      <c r="DR60" s="151"/>
      <c r="DS60" s="151"/>
      <c r="DT60" s="151"/>
      <c r="DU60" s="151"/>
      <c r="DV60" s="151"/>
      <c r="DW60" s="151"/>
      <c r="DX60" s="151"/>
      <c r="DY60" s="151"/>
      <c r="DZ60" s="151"/>
      <c r="EA60" s="151"/>
      <c r="EB60" s="151"/>
      <c r="EC60" s="151"/>
      <c r="ED60" s="151"/>
      <c r="EE60" s="151"/>
      <c r="EF60" s="151"/>
      <c r="EG60" s="151"/>
      <c r="EH60" s="151"/>
      <c r="EI60" s="151"/>
      <c r="EJ60" s="151"/>
      <c r="EK60" s="151"/>
      <c r="EL60" s="151"/>
      <c r="EM60" s="151"/>
      <c r="EN60" s="151"/>
      <c r="EO60" s="151"/>
      <c r="EP60" s="151"/>
      <c r="EQ60" s="151"/>
      <c r="ER60" s="151"/>
      <c r="ES60" s="151"/>
      <c r="ET60" s="151"/>
      <c r="EU60" s="151"/>
      <c r="EV60" s="151"/>
      <c r="EW60" s="151"/>
      <c r="EX60" s="151"/>
      <c r="EY60" s="151"/>
      <c r="EZ60" s="151"/>
      <c r="FA60" s="151"/>
      <c r="FB60" s="151"/>
      <c r="FC60" s="151"/>
      <c r="FD60" s="151"/>
      <c r="FE60" s="151"/>
      <c r="FF60" s="151"/>
      <c r="FG60" s="151"/>
      <c r="FH60" s="151"/>
      <c r="FI60" s="151"/>
      <c r="FJ60" s="151"/>
      <c r="FK60" s="151"/>
      <c r="FL60" s="151"/>
      <c r="FM60" s="151"/>
      <c r="FN60" s="151"/>
      <c r="FO60" s="151"/>
      <c r="FP60" s="151"/>
      <c r="FQ60" s="151"/>
      <c r="FR60" s="151"/>
      <c r="FS60" s="151"/>
      <c r="FT60" s="151"/>
      <c r="FU60" s="151"/>
      <c r="FV60" s="151"/>
      <c r="FW60" s="151"/>
      <c r="FX60" s="151"/>
      <c r="FY60" s="151"/>
      <c r="FZ60" s="151"/>
      <c r="GA60" s="151"/>
      <c r="GB60" s="151"/>
      <c r="GC60" s="151"/>
      <c r="GD60" s="151"/>
      <c r="GE60" s="151"/>
      <c r="GF60" s="151"/>
      <c r="GG60" s="151"/>
      <c r="GH60" s="151"/>
      <c r="GI60" s="151"/>
      <c r="GJ60" s="151"/>
      <c r="GK60" s="151"/>
      <c r="GL60" s="151"/>
      <c r="GM60" s="151"/>
      <c r="GN60" s="151"/>
      <c r="GO60" s="151"/>
      <c r="GP60" s="151"/>
      <c r="GQ60" s="151"/>
      <c r="GR60" s="151"/>
      <c r="GS60" s="151"/>
      <c r="GT60" s="151"/>
      <c r="GU60" s="151"/>
      <c r="GV60" s="151"/>
      <c r="GW60" s="151"/>
      <c r="GX60" s="151"/>
      <c r="GY60" s="151"/>
      <c r="GZ60" s="151"/>
      <c r="HA60" s="151"/>
      <c r="HB60" s="151"/>
      <c r="HC60" s="151"/>
      <c r="HD60" s="151"/>
      <c r="HE60" s="151"/>
      <c r="HF60" s="151"/>
      <c r="HG60" s="151"/>
      <c r="HH60" s="151"/>
      <c r="HI60" s="151"/>
      <c r="HJ60" s="151"/>
      <c r="HK60" s="151"/>
      <c r="HL60" s="151"/>
      <c r="HM60" s="151"/>
      <c r="HN60" s="151"/>
      <c r="HO60" s="151"/>
      <c r="HP60" s="151"/>
      <c r="HQ60" s="151"/>
      <c r="HR60" s="151"/>
      <c r="HS60" s="151"/>
      <c r="HT60" s="151"/>
      <c r="HU60" s="151"/>
      <c r="HV60" s="151"/>
      <c r="HW60" s="151"/>
      <c r="HX60" s="151"/>
      <c r="HY60" s="151"/>
      <c r="HZ60" s="151"/>
      <c r="IA60" s="151"/>
      <c r="IB60" s="151"/>
      <c r="IC60" s="151"/>
      <c r="ID60" s="151"/>
      <c r="IE60" s="151"/>
      <c r="IF60" s="151"/>
      <c r="IG60" s="151"/>
      <c r="IH60" s="151"/>
      <c r="II60" s="151"/>
      <c r="IJ60" s="151"/>
      <c r="IK60" s="151"/>
      <c r="IL60" s="151"/>
      <c r="IM60" s="151"/>
      <c r="IN60" s="151"/>
      <c r="IO60" s="151"/>
      <c r="IP60" s="151"/>
      <c r="IQ60" s="151"/>
      <c r="IR60" s="151"/>
      <c r="IS60" s="151"/>
      <c r="IT60" s="151"/>
      <c r="IU60" s="151"/>
      <c r="IV60" s="151"/>
      <c r="IW60" s="151"/>
      <c r="IX60" s="151"/>
      <c r="IY60" s="151"/>
      <c r="IZ60" s="151"/>
      <c r="JA60" s="151"/>
      <c r="JB60" s="151"/>
      <c r="JC60" s="151"/>
      <c r="JD60" s="151"/>
      <c r="JE60" s="151"/>
      <c r="JF60" s="151"/>
      <c r="JG60" s="151"/>
      <c r="JH60" s="151"/>
    </row>
    <row r="61" spans="1:268">
      <c r="A61" s="237" t="s">
        <v>911</v>
      </c>
      <c r="B61" s="155"/>
      <c r="C61" s="279">
        <f>SUM(C38:C60)*0.04</f>
        <v>7156.3008872127084</v>
      </c>
      <c r="D61" s="280">
        <f>SUM(D38:D60)*0.04</f>
        <v>1393.2376319214704</v>
      </c>
      <c r="E61" s="280">
        <f>SUM(E38:E60)*0.04</f>
        <v>1995.9889220902032</v>
      </c>
      <c r="F61" s="280">
        <f>SUM(F37:F60)*0.04</f>
        <v>40644.000558775624</v>
      </c>
      <c r="G61" s="233">
        <f>SUM(G37:G60)*0.04</f>
        <v>51189.528000000006</v>
      </c>
      <c r="H61" s="234"/>
      <c r="I61" s="231"/>
      <c r="J61" s="234"/>
      <c r="K61" s="234"/>
      <c r="L61" s="234"/>
      <c r="M61" s="234"/>
      <c r="N61" s="234"/>
      <c r="O61" s="234"/>
      <c r="P61" s="234"/>
      <c r="Q61" s="233"/>
      <c r="R61" s="232"/>
      <c r="S61" s="229"/>
      <c r="T61" s="155"/>
      <c r="U61" s="281" t="s">
        <v>416</v>
      </c>
      <c r="V61" s="297"/>
    </row>
    <row r="62" spans="1:268" s="160" customFormat="1">
      <c r="A62" s="154" t="s">
        <v>912</v>
      </c>
      <c r="B62" s="155"/>
      <c r="C62" s="392">
        <f>SUM(C37:C61)</f>
        <v>186063.82306753041</v>
      </c>
      <c r="D62" s="393">
        <f>SUM(D37:D61)</f>
        <v>36224.178429958229</v>
      </c>
      <c r="E62" s="393">
        <f>SUM(E37:E61)</f>
        <v>51895.711974345286</v>
      </c>
      <c r="F62" s="393">
        <f>SUM(F37:F61)</f>
        <v>1056744.0145281663</v>
      </c>
      <c r="G62" s="391">
        <f>SUM(G37:G61)</f>
        <v>1330927.7280000001</v>
      </c>
      <c r="H62" s="232"/>
      <c r="I62" s="232"/>
      <c r="J62" s="234"/>
      <c r="K62" s="234"/>
      <c r="L62" s="234"/>
      <c r="M62" s="234"/>
      <c r="N62" s="234"/>
      <c r="O62" s="234"/>
      <c r="P62" s="234"/>
      <c r="Q62" s="232"/>
      <c r="R62" s="266"/>
      <c r="S62" s="229"/>
      <c r="T62" s="155"/>
      <c r="U62" s="281"/>
      <c r="V62" s="164"/>
    </row>
    <row r="63" spans="1:268" s="160" customFormat="1">
      <c r="A63" s="255"/>
      <c r="B63" s="255"/>
      <c r="C63" s="282"/>
      <c r="D63" s="283"/>
      <c r="E63" s="283"/>
      <c r="F63" s="283"/>
      <c r="G63" s="284"/>
      <c r="H63" s="255"/>
      <c r="I63" s="282"/>
      <c r="J63" s="255"/>
      <c r="K63" s="255"/>
      <c r="L63" s="255"/>
      <c r="M63" s="255"/>
      <c r="N63" s="255"/>
      <c r="O63" s="255"/>
      <c r="P63" s="255"/>
      <c r="Q63" s="285"/>
      <c r="R63" s="255"/>
      <c r="S63" s="255"/>
      <c r="T63" s="255"/>
      <c r="U63" s="255"/>
      <c r="V63" s="164"/>
    </row>
    <row r="64" spans="1:268" s="160" customFormat="1">
      <c r="A64" s="154" t="s">
        <v>913</v>
      </c>
      <c r="B64" s="269"/>
      <c r="C64" s="257"/>
      <c r="D64" s="258"/>
      <c r="E64" s="258"/>
      <c r="F64" s="258"/>
      <c r="G64" s="259"/>
      <c r="H64" s="229"/>
      <c r="I64" s="257"/>
      <c r="J64" s="229"/>
      <c r="K64" s="229"/>
      <c r="L64" s="229"/>
      <c r="M64" s="229"/>
      <c r="N64" s="229"/>
      <c r="O64" s="229"/>
      <c r="P64" s="229"/>
      <c r="Q64" s="259"/>
      <c r="R64" s="229"/>
      <c r="S64" s="229"/>
      <c r="T64" s="155"/>
      <c r="U64" s="155"/>
      <c r="V64" s="164"/>
    </row>
    <row r="65" spans="1:268" s="160" customFormat="1">
      <c r="A65" s="286" t="s">
        <v>914</v>
      </c>
      <c r="C65" s="270"/>
      <c r="D65" s="271"/>
      <c r="E65" s="271"/>
      <c r="F65" s="271"/>
      <c r="G65" s="272"/>
      <c r="I65" s="270"/>
      <c r="Q65" s="272"/>
      <c r="R65" s="286"/>
      <c r="S65" s="241"/>
      <c r="T65" s="154"/>
      <c r="U65" s="154"/>
      <c r="V65" s="164"/>
    </row>
    <row r="66" spans="1:268" s="160" customFormat="1">
      <c r="A66" s="237" t="s">
        <v>915</v>
      </c>
      <c r="B66" s="229">
        <v>188376</v>
      </c>
      <c r="C66" s="287">
        <f>$B$66*$C$115</f>
        <v>26869.809298557953</v>
      </c>
      <c r="D66" s="288">
        <f>$B$66*$D$115</f>
        <v>6421.8497379221244</v>
      </c>
      <c r="E66" s="288">
        <f>$B$66*$E$115</f>
        <v>10079.256153837689</v>
      </c>
      <c r="F66" s="288">
        <f>$B$66*$F$115</f>
        <v>145005.08480968224</v>
      </c>
      <c r="G66" s="289">
        <f>SUM(C66:F66)</f>
        <v>188376</v>
      </c>
      <c r="H66" s="277" t="s">
        <v>1440</v>
      </c>
      <c r="I66" s="264"/>
      <c r="J66" s="229"/>
      <c r="K66" s="229">
        <v>53633</v>
      </c>
      <c r="L66" s="229">
        <v>28448</v>
      </c>
      <c r="M66" s="229">
        <v>22247</v>
      </c>
      <c r="N66" s="229">
        <v>970</v>
      </c>
      <c r="O66" s="229">
        <v>34604</v>
      </c>
      <c r="P66" s="229">
        <v>73928</v>
      </c>
      <c r="Q66" s="265">
        <f>SUM(I66:P66)</f>
        <v>213830</v>
      </c>
      <c r="R66" s="290"/>
      <c r="S66" s="241"/>
      <c r="T66" s="154"/>
      <c r="U66" s="154"/>
      <c r="V66" s="164"/>
    </row>
    <row r="67" spans="1:268" s="160" customFormat="1">
      <c r="A67" s="154" t="s">
        <v>916</v>
      </c>
      <c r="B67" s="291"/>
      <c r="C67" s="392">
        <f>SUM(C66:C66)</f>
        <v>26869.809298557953</v>
      </c>
      <c r="D67" s="393">
        <f>SUM(D66:D66)</f>
        <v>6421.8497379221244</v>
      </c>
      <c r="E67" s="393">
        <f>SUM(E66:E66)</f>
        <v>10079.256153837689</v>
      </c>
      <c r="F67" s="393">
        <f>SUM(F66:F66)</f>
        <v>145005.08480968224</v>
      </c>
      <c r="G67" s="391">
        <f>SUM(C67:F67)</f>
        <v>188376</v>
      </c>
      <c r="H67" s="241"/>
      <c r="I67" s="264"/>
      <c r="J67" s="229"/>
      <c r="K67" s="229"/>
      <c r="L67" s="229"/>
      <c r="M67" s="229"/>
      <c r="N67" s="229"/>
      <c r="O67" s="229"/>
      <c r="P67" s="229"/>
      <c r="Q67" s="265"/>
      <c r="R67" s="229"/>
      <c r="S67" s="241"/>
      <c r="T67" s="154"/>
      <c r="U67" s="154"/>
      <c r="V67" s="164"/>
    </row>
    <row r="68" spans="1:268" s="160" customFormat="1">
      <c r="A68" s="292"/>
      <c r="B68" s="248"/>
      <c r="C68" s="293"/>
      <c r="D68" s="294"/>
      <c r="E68" s="294"/>
      <c r="F68" s="294"/>
      <c r="G68" s="295"/>
      <c r="H68" s="296"/>
      <c r="I68" s="293"/>
      <c r="J68" s="296"/>
      <c r="K68" s="296"/>
      <c r="L68" s="296"/>
      <c r="M68" s="296"/>
      <c r="N68" s="296"/>
      <c r="O68" s="296"/>
      <c r="P68" s="296"/>
      <c r="Q68" s="295"/>
      <c r="R68" s="296"/>
      <c r="S68" s="296"/>
      <c r="T68" s="254"/>
      <c r="U68" s="254"/>
      <c r="V68" s="151"/>
    </row>
    <row r="69" spans="1:268" s="160" customFormat="1">
      <c r="A69" s="154" t="s">
        <v>917</v>
      </c>
      <c r="B69" s="291"/>
      <c r="C69" s="231"/>
      <c r="D69" s="232"/>
      <c r="E69" s="232"/>
      <c r="F69" s="232"/>
      <c r="G69" s="233"/>
      <c r="H69" s="234"/>
      <c r="I69" s="231"/>
      <c r="J69" s="234"/>
      <c r="K69" s="234"/>
      <c r="L69" s="234"/>
      <c r="M69" s="234"/>
      <c r="N69" s="234"/>
      <c r="O69" s="234"/>
      <c r="P69" s="234"/>
      <c r="Q69" s="233"/>
      <c r="R69" s="229"/>
      <c r="S69" s="229"/>
      <c r="T69" s="155"/>
      <c r="U69" s="155"/>
      <c r="V69" s="151"/>
    </row>
    <row r="70" spans="1:268" s="160" customFormat="1">
      <c r="A70" s="286" t="s">
        <v>1467</v>
      </c>
      <c r="B70" s="291"/>
      <c r="C70" s="231"/>
      <c r="D70" s="232"/>
      <c r="E70" s="232"/>
      <c r="F70" s="232"/>
      <c r="G70" s="233"/>
      <c r="H70" s="234"/>
      <c r="I70" s="231"/>
      <c r="J70" s="234"/>
      <c r="K70" s="234"/>
      <c r="L70" s="234"/>
      <c r="M70" s="234"/>
      <c r="N70" s="234"/>
      <c r="O70" s="234"/>
      <c r="P70" s="234"/>
      <c r="Q70" s="233"/>
      <c r="R70" s="229"/>
      <c r="S70" s="229"/>
      <c r="T70" s="155"/>
      <c r="U70" s="155"/>
      <c r="V70" s="151"/>
    </row>
    <row r="71" spans="1:268" s="160" customFormat="1">
      <c r="A71" s="237" t="s">
        <v>918</v>
      </c>
      <c r="B71" s="267">
        <f>0.2*75000</f>
        <v>15000</v>
      </c>
      <c r="C71" s="231">
        <f t="shared" ref="C71:C77" si="7">$B71*$C$115</f>
        <v>2139.5885860107942</v>
      </c>
      <c r="D71" s="232">
        <f t="shared" ref="D71:D77" si="8">$B71*$D$115</f>
        <v>511.35891020529084</v>
      </c>
      <c r="E71" s="232">
        <f t="shared" ref="E71:E77" si="9">$B71*$E$115</f>
        <v>802.59078814480267</v>
      </c>
      <c r="F71" s="232">
        <f t="shared" ref="F71:F77" si="10">$B71*$F$115</f>
        <v>11546.461715639112</v>
      </c>
      <c r="G71" s="233">
        <f>SUM(C71:F71)</f>
        <v>15000</v>
      </c>
      <c r="H71" s="277" t="s">
        <v>1440</v>
      </c>
      <c r="I71" s="270"/>
      <c r="J71" s="234"/>
      <c r="K71" s="234"/>
      <c r="L71" s="234"/>
      <c r="M71" s="234"/>
      <c r="N71" s="234"/>
      <c r="O71" s="234"/>
      <c r="P71" s="234"/>
      <c r="Q71" s="272"/>
      <c r="R71" s="229" t="s">
        <v>1468</v>
      </c>
      <c r="T71" s="155"/>
      <c r="U71" s="155" t="s">
        <v>416</v>
      </c>
      <c r="V71" s="164"/>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1"/>
      <c r="BL71" s="151"/>
      <c r="BM71" s="151"/>
      <c r="BN71" s="151"/>
      <c r="BO71" s="151"/>
      <c r="BP71" s="151"/>
      <c r="BQ71" s="151"/>
      <c r="BR71" s="151"/>
      <c r="BS71" s="151"/>
      <c r="BT71" s="151"/>
      <c r="BU71" s="151"/>
      <c r="BV71" s="151"/>
      <c r="BW71" s="151"/>
      <c r="BX71" s="151"/>
      <c r="BY71" s="151"/>
      <c r="BZ71" s="151"/>
      <c r="CA71" s="151"/>
      <c r="CB71" s="151"/>
      <c r="CC71" s="151"/>
      <c r="CD71" s="151"/>
      <c r="CE71" s="151"/>
      <c r="CF71" s="151"/>
      <c r="CG71" s="151"/>
      <c r="CH71" s="151"/>
      <c r="CI71" s="151"/>
      <c r="CJ71" s="151"/>
      <c r="CK71" s="151"/>
      <c r="CL71" s="151"/>
      <c r="CM71" s="151"/>
      <c r="CN71" s="151"/>
      <c r="CO71" s="151"/>
      <c r="CP71" s="151"/>
      <c r="CQ71" s="151"/>
      <c r="CR71" s="151"/>
      <c r="CS71" s="151"/>
      <c r="CT71" s="151"/>
      <c r="CU71" s="151"/>
      <c r="CV71" s="151"/>
      <c r="CW71" s="151"/>
      <c r="CX71" s="151"/>
      <c r="CY71" s="151"/>
      <c r="CZ71" s="151"/>
      <c r="DA71" s="151"/>
      <c r="DB71" s="151"/>
      <c r="DC71" s="151"/>
      <c r="DD71" s="151"/>
      <c r="DE71" s="151"/>
      <c r="DF71" s="151"/>
      <c r="DG71" s="151"/>
      <c r="DH71" s="151"/>
      <c r="DI71" s="151"/>
      <c r="DJ71" s="151"/>
      <c r="DK71" s="151"/>
      <c r="DL71" s="151"/>
      <c r="DM71" s="151"/>
      <c r="DN71" s="151"/>
      <c r="DO71" s="151"/>
      <c r="DP71" s="151"/>
      <c r="DQ71" s="151"/>
      <c r="DR71" s="151"/>
      <c r="DS71" s="151"/>
      <c r="DT71" s="151"/>
      <c r="DU71" s="151"/>
      <c r="DV71" s="151"/>
      <c r="DW71" s="151"/>
      <c r="DX71" s="151"/>
      <c r="DY71" s="151"/>
      <c r="DZ71" s="151"/>
      <c r="EA71" s="151"/>
      <c r="EB71" s="151"/>
      <c r="EC71" s="151"/>
      <c r="ED71" s="151"/>
      <c r="EE71" s="151"/>
      <c r="EF71" s="151"/>
      <c r="EG71" s="151"/>
      <c r="EH71" s="151"/>
      <c r="EI71" s="151"/>
      <c r="EJ71" s="151"/>
      <c r="EK71" s="151"/>
      <c r="EL71" s="151"/>
      <c r="EM71" s="151"/>
      <c r="EN71" s="151"/>
      <c r="EO71" s="151"/>
      <c r="EP71" s="151"/>
      <c r="EQ71" s="151"/>
      <c r="ER71" s="151"/>
      <c r="ES71" s="151"/>
      <c r="ET71" s="151"/>
      <c r="EU71" s="151"/>
      <c r="EV71" s="151"/>
      <c r="EW71" s="151"/>
      <c r="EX71" s="151"/>
      <c r="EY71" s="151"/>
      <c r="EZ71" s="151"/>
      <c r="FA71" s="151"/>
      <c r="FB71" s="151"/>
      <c r="FC71" s="151"/>
      <c r="FD71" s="151"/>
      <c r="FE71" s="151"/>
      <c r="FF71" s="151"/>
      <c r="FG71" s="151"/>
      <c r="FH71" s="151"/>
      <c r="FI71" s="151"/>
      <c r="FJ71" s="151"/>
      <c r="FK71" s="151"/>
      <c r="FL71" s="151"/>
      <c r="FM71" s="151"/>
      <c r="FN71" s="151"/>
      <c r="FO71" s="151"/>
      <c r="FP71" s="151"/>
      <c r="FQ71" s="151"/>
      <c r="FR71" s="151"/>
      <c r="FS71" s="151"/>
      <c r="FT71" s="151"/>
      <c r="FU71" s="151"/>
      <c r="FV71" s="151"/>
      <c r="FW71" s="151"/>
      <c r="FX71" s="151"/>
      <c r="FY71" s="151"/>
      <c r="FZ71" s="151"/>
      <c r="GA71" s="151"/>
      <c r="GB71" s="151"/>
      <c r="GC71" s="151"/>
      <c r="GD71" s="151"/>
      <c r="GE71" s="151"/>
      <c r="GF71" s="151"/>
      <c r="GG71" s="151"/>
      <c r="GH71" s="151"/>
      <c r="GI71" s="151"/>
      <c r="GJ71" s="151"/>
      <c r="GK71" s="151"/>
      <c r="GL71" s="151"/>
      <c r="GM71" s="151"/>
      <c r="GN71" s="151"/>
      <c r="GO71" s="151"/>
      <c r="GP71" s="151"/>
      <c r="GQ71" s="151"/>
      <c r="GR71" s="151"/>
      <c r="GS71" s="151"/>
      <c r="GT71" s="151"/>
      <c r="GU71" s="151"/>
      <c r="GV71" s="151"/>
      <c r="GW71" s="151"/>
      <c r="GX71" s="151"/>
      <c r="GY71" s="151"/>
      <c r="GZ71" s="151"/>
      <c r="HA71" s="151"/>
      <c r="HB71" s="151"/>
      <c r="HC71" s="151"/>
      <c r="HD71" s="151"/>
      <c r="HE71" s="151"/>
      <c r="HF71" s="151"/>
      <c r="HG71" s="151"/>
      <c r="HH71" s="151"/>
      <c r="HI71" s="151"/>
      <c r="HJ71" s="151"/>
      <c r="HK71" s="151"/>
      <c r="HL71" s="151"/>
      <c r="HM71" s="151"/>
      <c r="HN71" s="151"/>
      <c r="HO71" s="151"/>
      <c r="HP71" s="151"/>
      <c r="HQ71" s="151"/>
      <c r="HR71" s="151"/>
      <c r="HS71" s="151"/>
      <c r="HT71" s="151"/>
      <c r="HU71" s="151"/>
      <c r="HV71" s="151"/>
      <c r="HW71" s="151"/>
      <c r="HX71" s="151"/>
      <c r="HY71" s="151"/>
      <c r="HZ71" s="151"/>
      <c r="IA71" s="151"/>
      <c r="IB71" s="151"/>
      <c r="IC71" s="151"/>
      <c r="ID71" s="151"/>
      <c r="IE71" s="151"/>
      <c r="IF71" s="151"/>
      <c r="IG71" s="151"/>
      <c r="IH71" s="151"/>
      <c r="II71" s="151"/>
      <c r="IJ71" s="151"/>
      <c r="IK71" s="151"/>
      <c r="IL71" s="151"/>
      <c r="IM71" s="151"/>
      <c r="IN71" s="151"/>
      <c r="IO71" s="151"/>
      <c r="IP71" s="151"/>
      <c r="IQ71" s="151"/>
      <c r="IR71" s="151"/>
      <c r="IS71" s="151"/>
      <c r="IT71" s="151"/>
      <c r="IU71" s="151"/>
      <c r="IV71" s="151"/>
      <c r="IW71" s="151"/>
      <c r="IX71" s="151"/>
      <c r="IY71" s="151"/>
      <c r="IZ71" s="151"/>
      <c r="JA71" s="151"/>
      <c r="JB71" s="151"/>
      <c r="JC71" s="151"/>
      <c r="JD71" s="151"/>
      <c r="JE71" s="151"/>
      <c r="JF71" s="151"/>
      <c r="JG71" s="151"/>
      <c r="JH71" s="151"/>
    </row>
    <row r="72" spans="1:268" s="160" customFormat="1">
      <c r="A72" s="237" t="s">
        <v>919</v>
      </c>
      <c r="B72" s="267">
        <f>0.3*80000</f>
        <v>24000</v>
      </c>
      <c r="C72" s="231">
        <f t="shared" si="7"/>
        <v>3423.3417376172702</v>
      </c>
      <c r="D72" s="232">
        <f t="shared" si="8"/>
        <v>818.17425632846528</v>
      </c>
      <c r="E72" s="232">
        <f t="shared" si="9"/>
        <v>1284.1452610316842</v>
      </c>
      <c r="F72" s="232">
        <f t="shared" si="10"/>
        <v>18474.338745022578</v>
      </c>
      <c r="G72" s="233">
        <f t="shared" ref="G72:G77" si="11">SUM(C72:F72)</f>
        <v>24000</v>
      </c>
      <c r="H72" s="277" t="s">
        <v>1440</v>
      </c>
      <c r="I72" s="270"/>
      <c r="J72" s="234"/>
      <c r="K72" s="234"/>
      <c r="L72" s="234"/>
      <c r="M72" s="234"/>
      <c r="N72" s="234"/>
      <c r="O72" s="234"/>
      <c r="P72" s="234"/>
      <c r="Q72" s="272"/>
      <c r="R72" s="229" t="s">
        <v>1469</v>
      </c>
      <c r="T72" s="155"/>
      <c r="U72" s="155" t="s">
        <v>416</v>
      </c>
      <c r="V72" s="164"/>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c r="BI72" s="151"/>
      <c r="BJ72" s="151"/>
      <c r="BK72" s="151"/>
      <c r="BL72" s="151"/>
      <c r="BM72" s="151"/>
      <c r="BN72" s="151"/>
      <c r="BO72" s="151"/>
      <c r="BP72" s="151"/>
      <c r="BQ72" s="151"/>
      <c r="BR72" s="151"/>
      <c r="BS72" s="151"/>
      <c r="BT72" s="151"/>
      <c r="BU72" s="151"/>
      <c r="BV72" s="151"/>
      <c r="BW72" s="151"/>
      <c r="BX72" s="151"/>
      <c r="BY72" s="151"/>
      <c r="BZ72" s="151"/>
      <c r="CA72" s="151"/>
      <c r="CB72" s="151"/>
      <c r="CC72" s="151"/>
      <c r="CD72" s="151"/>
      <c r="CE72" s="151"/>
      <c r="CF72" s="151"/>
      <c r="CG72" s="151"/>
      <c r="CH72" s="151"/>
      <c r="CI72" s="151"/>
      <c r="CJ72" s="151"/>
      <c r="CK72" s="151"/>
      <c r="CL72" s="151"/>
      <c r="CM72" s="151"/>
      <c r="CN72" s="151"/>
      <c r="CO72" s="151"/>
      <c r="CP72" s="151"/>
      <c r="CQ72" s="151"/>
      <c r="CR72" s="151"/>
      <c r="CS72" s="151"/>
      <c r="CT72" s="151"/>
      <c r="CU72" s="151"/>
      <c r="CV72" s="151"/>
      <c r="CW72" s="151"/>
      <c r="CX72" s="151"/>
      <c r="CY72" s="151"/>
      <c r="CZ72" s="151"/>
      <c r="DA72" s="151"/>
      <c r="DB72" s="151"/>
      <c r="DC72" s="151"/>
      <c r="DD72" s="151"/>
      <c r="DE72" s="151"/>
      <c r="DF72" s="151"/>
      <c r="DG72" s="151"/>
      <c r="DH72" s="151"/>
      <c r="DI72" s="151"/>
      <c r="DJ72" s="151"/>
      <c r="DK72" s="151"/>
      <c r="DL72" s="151"/>
      <c r="DM72" s="151"/>
      <c r="DN72" s="151"/>
      <c r="DO72" s="151"/>
      <c r="DP72" s="151"/>
      <c r="DQ72" s="151"/>
      <c r="DR72" s="151"/>
      <c r="DS72" s="151"/>
      <c r="DT72" s="151"/>
      <c r="DU72" s="151"/>
      <c r="DV72" s="151"/>
      <c r="DW72" s="151"/>
      <c r="DX72" s="151"/>
      <c r="DY72" s="151"/>
      <c r="DZ72" s="151"/>
      <c r="EA72" s="151"/>
      <c r="EB72" s="151"/>
      <c r="EC72" s="151"/>
      <c r="ED72" s="151"/>
      <c r="EE72" s="151"/>
      <c r="EF72" s="151"/>
      <c r="EG72" s="151"/>
      <c r="EH72" s="151"/>
      <c r="EI72" s="151"/>
      <c r="EJ72" s="151"/>
      <c r="EK72" s="151"/>
      <c r="EL72" s="151"/>
      <c r="EM72" s="151"/>
      <c r="EN72" s="151"/>
      <c r="EO72" s="151"/>
      <c r="EP72" s="151"/>
      <c r="EQ72" s="151"/>
      <c r="ER72" s="151"/>
      <c r="ES72" s="151"/>
      <c r="ET72" s="151"/>
      <c r="EU72" s="151"/>
      <c r="EV72" s="151"/>
      <c r="EW72" s="151"/>
      <c r="EX72" s="151"/>
      <c r="EY72" s="151"/>
      <c r="EZ72" s="151"/>
      <c r="FA72" s="151"/>
      <c r="FB72" s="151"/>
      <c r="FC72" s="151"/>
      <c r="FD72" s="151"/>
      <c r="FE72" s="151"/>
      <c r="FF72" s="151"/>
      <c r="FG72" s="151"/>
      <c r="FH72" s="151"/>
      <c r="FI72" s="151"/>
      <c r="FJ72" s="151"/>
      <c r="FK72" s="151"/>
      <c r="FL72" s="151"/>
      <c r="FM72" s="151"/>
      <c r="FN72" s="151"/>
      <c r="FO72" s="151"/>
      <c r="FP72" s="151"/>
      <c r="FQ72" s="151"/>
      <c r="FR72" s="151"/>
      <c r="FS72" s="151"/>
      <c r="FT72" s="151"/>
      <c r="FU72" s="151"/>
      <c r="FV72" s="151"/>
      <c r="FW72" s="151"/>
      <c r="FX72" s="151"/>
      <c r="FY72" s="151"/>
      <c r="FZ72" s="151"/>
      <c r="GA72" s="151"/>
      <c r="GB72" s="151"/>
      <c r="GC72" s="151"/>
      <c r="GD72" s="151"/>
      <c r="GE72" s="151"/>
      <c r="GF72" s="151"/>
      <c r="GG72" s="151"/>
      <c r="GH72" s="151"/>
      <c r="GI72" s="151"/>
      <c r="GJ72" s="151"/>
      <c r="GK72" s="151"/>
      <c r="GL72" s="151"/>
      <c r="GM72" s="151"/>
      <c r="GN72" s="151"/>
      <c r="GO72" s="151"/>
      <c r="GP72" s="151"/>
      <c r="GQ72" s="151"/>
      <c r="GR72" s="151"/>
      <c r="GS72" s="151"/>
      <c r="GT72" s="151"/>
      <c r="GU72" s="151"/>
      <c r="GV72" s="151"/>
      <c r="GW72" s="151"/>
      <c r="GX72" s="151"/>
      <c r="GY72" s="151"/>
      <c r="GZ72" s="151"/>
      <c r="HA72" s="151"/>
      <c r="HB72" s="151"/>
      <c r="HC72" s="151"/>
      <c r="HD72" s="151"/>
      <c r="HE72" s="151"/>
      <c r="HF72" s="151"/>
      <c r="HG72" s="151"/>
      <c r="HH72" s="151"/>
      <c r="HI72" s="151"/>
      <c r="HJ72" s="151"/>
      <c r="HK72" s="151"/>
      <c r="HL72" s="151"/>
      <c r="HM72" s="151"/>
      <c r="HN72" s="151"/>
      <c r="HO72" s="151"/>
      <c r="HP72" s="151"/>
      <c r="HQ72" s="151"/>
      <c r="HR72" s="151"/>
      <c r="HS72" s="151"/>
      <c r="HT72" s="151"/>
      <c r="HU72" s="151"/>
      <c r="HV72" s="151"/>
      <c r="HW72" s="151"/>
      <c r="HX72" s="151"/>
      <c r="HY72" s="151"/>
      <c r="HZ72" s="151"/>
      <c r="IA72" s="151"/>
      <c r="IB72" s="151"/>
      <c r="IC72" s="151"/>
      <c r="ID72" s="151"/>
      <c r="IE72" s="151"/>
      <c r="IF72" s="151"/>
      <c r="IG72" s="151"/>
      <c r="IH72" s="151"/>
      <c r="II72" s="151"/>
      <c r="IJ72" s="151"/>
      <c r="IK72" s="151"/>
      <c r="IL72" s="151"/>
      <c r="IM72" s="151"/>
      <c r="IN72" s="151"/>
      <c r="IO72" s="151"/>
      <c r="IP72" s="151"/>
      <c r="IQ72" s="151"/>
      <c r="IR72" s="151"/>
      <c r="IS72" s="151"/>
      <c r="IT72" s="151"/>
      <c r="IU72" s="151"/>
      <c r="IV72" s="151"/>
      <c r="IW72" s="151"/>
      <c r="IX72" s="151"/>
      <c r="IY72" s="151"/>
      <c r="IZ72" s="151"/>
      <c r="JA72" s="151"/>
      <c r="JB72" s="151"/>
      <c r="JC72" s="151"/>
      <c r="JD72" s="151"/>
      <c r="JE72" s="151"/>
      <c r="JF72" s="151"/>
      <c r="JG72" s="151"/>
      <c r="JH72" s="151"/>
    </row>
    <row r="73" spans="1:268" s="160" customFormat="1">
      <c r="A73" s="237" t="s">
        <v>920</v>
      </c>
      <c r="B73" s="267">
        <v>63936</v>
      </c>
      <c r="C73" s="231">
        <f t="shared" si="7"/>
        <v>9119.7823890124073</v>
      </c>
      <c r="D73" s="232">
        <f t="shared" si="8"/>
        <v>2179.6162188590315</v>
      </c>
      <c r="E73" s="232">
        <f t="shared" si="9"/>
        <v>3420.9629753884069</v>
      </c>
      <c r="F73" s="232">
        <f t="shared" si="10"/>
        <v>49215.638416740156</v>
      </c>
      <c r="G73" s="233">
        <f t="shared" si="11"/>
        <v>63936</v>
      </c>
      <c r="H73" s="277" t="s">
        <v>1440</v>
      </c>
      <c r="I73" s="270"/>
      <c r="J73" s="234"/>
      <c r="K73" s="234"/>
      <c r="L73" s="234"/>
      <c r="M73" s="234"/>
      <c r="N73" s="234"/>
      <c r="O73" s="234"/>
      <c r="P73" s="234"/>
      <c r="Q73" s="272"/>
      <c r="R73" s="229" t="s">
        <v>1470</v>
      </c>
      <c r="T73" s="155"/>
      <c r="U73" s="155" t="s">
        <v>416</v>
      </c>
      <c r="V73" s="164"/>
    </row>
    <row r="74" spans="1:268" s="160" customFormat="1">
      <c r="A74" s="237" t="s">
        <v>921</v>
      </c>
      <c r="B74" s="267">
        <f>0.5*49002.17</f>
        <v>24501.084999999999</v>
      </c>
      <c r="C74" s="231">
        <f t="shared" si="7"/>
        <v>3494.8161207253515</v>
      </c>
      <c r="D74" s="232">
        <f t="shared" si="8"/>
        <v>835.25654162981311</v>
      </c>
      <c r="E74" s="232">
        <f t="shared" si="9"/>
        <v>1310.9563413701867</v>
      </c>
      <c r="F74" s="232">
        <f t="shared" si="10"/>
        <v>18860.055996274648</v>
      </c>
      <c r="G74" s="233">
        <f t="shared" si="11"/>
        <v>24501.084999999999</v>
      </c>
      <c r="H74" s="277" t="s">
        <v>1440</v>
      </c>
      <c r="I74" s="270"/>
      <c r="J74" s="234"/>
      <c r="K74" s="234"/>
      <c r="L74" s="234"/>
      <c r="M74" s="234"/>
      <c r="N74" s="234"/>
      <c r="O74" s="234"/>
      <c r="P74" s="234"/>
      <c r="Q74" s="272"/>
      <c r="R74" s="229" t="s">
        <v>922</v>
      </c>
      <c r="T74" s="155"/>
      <c r="U74" s="155" t="s">
        <v>416</v>
      </c>
      <c r="V74" s="164"/>
    </row>
    <row r="75" spans="1:268" s="160" customFormat="1">
      <c r="A75" s="237" t="s">
        <v>923</v>
      </c>
      <c r="B75" s="267">
        <v>42263</v>
      </c>
      <c r="C75" s="231">
        <f t="shared" si="7"/>
        <v>6028.3621607049454</v>
      </c>
      <c r="D75" s="232">
        <f t="shared" si="8"/>
        <v>1440.7707748004136</v>
      </c>
      <c r="E75" s="232">
        <f t="shared" si="9"/>
        <v>2261.326298624253</v>
      </c>
      <c r="F75" s="232">
        <f t="shared" si="10"/>
        <v>32532.540765870388</v>
      </c>
      <c r="G75" s="233">
        <f t="shared" si="11"/>
        <v>42263</v>
      </c>
      <c r="H75" s="277" t="s">
        <v>1440</v>
      </c>
      <c r="I75" s="270"/>
      <c r="J75" s="234"/>
      <c r="K75" s="234"/>
      <c r="L75" s="234"/>
      <c r="M75" s="234"/>
      <c r="N75" s="234"/>
      <c r="O75" s="234"/>
      <c r="P75" s="234"/>
      <c r="Q75" s="272"/>
      <c r="R75" s="229" t="s">
        <v>924</v>
      </c>
      <c r="T75" s="229"/>
      <c r="U75" s="155"/>
      <c r="V75" s="164"/>
    </row>
    <row r="76" spans="1:268" s="160" customFormat="1">
      <c r="A76" s="237" t="s">
        <v>925</v>
      </c>
      <c r="B76" s="267">
        <v>20313</v>
      </c>
      <c r="C76" s="231">
        <f t="shared" si="7"/>
        <v>2897.4308631758172</v>
      </c>
      <c r="D76" s="232">
        <f t="shared" si="8"/>
        <v>692.48223620000476</v>
      </c>
      <c r="E76" s="232">
        <f t="shared" si="9"/>
        <v>1086.8684453056917</v>
      </c>
      <c r="F76" s="232">
        <f t="shared" si="10"/>
        <v>15636.218455318487</v>
      </c>
      <c r="G76" s="233">
        <f t="shared" si="11"/>
        <v>20313</v>
      </c>
      <c r="H76" s="277" t="s">
        <v>1440</v>
      </c>
      <c r="I76" s="270"/>
      <c r="J76" s="234"/>
      <c r="K76" s="234"/>
      <c r="L76" s="234"/>
      <c r="M76" s="234"/>
      <c r="N76" s="234"/>
      <c r="O76" s="234"/>
      <c r="P76" s="234"/>
      <c r="Q76" s="272"/>
      <c r="R76" s="229" t="s">
        <v>926</v>
      </c>
      <c r="T76" s="155"/>
      <c r="U76" s="155" t="s">
        <v>416</v>
      </c>
      <c r="V76" s="164"/>
    </row>
    <row r="77" spans="1:268" s="160" customFormat="1">
      <c r="A77" s="237" t="s">
        <v>927</v>
      </c>
      <c r="B77" s="267">
        <f>(SUM(B71:B76)*0.35)</f>
        <v>66504.57974999999</v>
      </c>
      <c r="C77" s="231">
        <f t="shared" si="7"/>
        <v>9486.1626500363036</v>
      </c>
      <c r="D77" s="232">
        <f t="shared" si="8"/>
        <v>2267.1806283080564</v>
      </c>
      <c r="E77" s="232">
        <f t="shared" si="9"/>
        <v>3558.397538452758</v>
      </c>
      <c r="F77" s="232">
        <f t="shared" si="10"/>
        <v>51192.838933202867</v>
      </c>
      <c r="G77" s="233">
        <f t="shared" si="11"/>
        <v>66504.57974999999</v>
      </c>
      <c r="H77" s="277" t="s">
        <v>1440</v>
      </c>
      <c r="I77" s="270"/>
      <c r="J77" s="234"/>
      <c r="K77" s="234"/>
      <c r="L77" s="234"/>
      <c r="M77" s="234"/>
      <c r="N77" s="234"/>
      <c r="O77" s="234"/>
      <c r="P77" s="234"/>
      <c r="Q77" s="272"/>
      <c r="S77" s="229"/>
      <c r="T77" s="155"/>
      <c r="U77" s="155"/>
      <c r="V77" s="164"/>
    </row>
    <row r="78" spans="1:268" s="160" customFormat="1">
      <c r="A78" s="154" t="s">
        <v>928</v>
      </c>
      <c r="B78" s="393">
        <f>SUM(B71:B77)</f>
        <v>256517.66475</v>
      </c>
      <c r="C78" s="392">
        <f>SUM(C71:C77)</f>
        <v>36589.48450728289</v>
      </c>
      <c r="D78" s="393">
        <f>SUM(D71:D77)</f>
        <v>8744.8395663310766</v>
      </c>
      <c r="E78" s="393">
        <f>SUM(E71:E77)</f>
        <v>13725.247648317785</v>
      </c>
      <c r="F78" s="393">
        <f>SUM(F71:F77)</f>
        <v>197458.09302806825</v>
      </c>
      <c r="G78" s="391">
        <f>SUM(C78:F78)</f>
        <v>256517.66475</v>
      </c>
      <c r="I78" s="270"/>
      <c r="J78" s="241"/>
      <c r="K78" s="241"/>
      <c r="L78" s="241"/>
      <c r="M78" s="241"/>
      <c r="N78" s="241"/>
      <c r="O78" s="241"/>
      <c r="P78" s="241"/>
      <c r="Q78" s="272"/>
      <c r="R78" s="241"/>
      <c r="S78" s="241"/>
      <c r="T78" s="154"/>
      <c r="U78" s="154"/>
      <c r="V78" s="164"/>
    </row>
    <row r="79" spans="1:268" s="160" customFormat="1">
      <c r="A79" s="154"/>
      <c r="B79" s="154"/>
      <c r="C79" s="264"/>
      <c r="D79" s="266"/>
      <c r="E79" s="266"/>
      <c r="F79" s="266"/>
      <c r="G79" s="265"/>
      <c r="H79" s="241"/>
      <c r="I79" s="264"/>
      <c r="J79" s="241"/>
      <c r="K79" s="241"/>
      <c r="L79" s="241"/>
      <c r="M79" s="241"/>
      <c r="N79" s="241"/>
      <c r="O79" s="241"/>
      <c r="P79" s="241"/>
      <c r="Q79" s="265"/>
      <c r="R79" s="241"/>
      <c r="S79" s="241"/>
      <c r="T79" s="154"/>
      <c r="U79" s="155"/>
      <c r="V79" s="164"/>
    </row>
    <row r="80" spans="1:268" s="160" customFormat="1">
      <c r="A80" s="154" t="s">
        <v>929</v>
      </c>
      <c r="B80" s="291"/>
      <c r="C80" s="231"/>
      <c r="D80" s="232"/>
      <c r="E80" s="232"/>
      <c r="F80" s="232"/>
      <c r="G80" s="233"/>
      <c r="H80" s="234"/>
      <c r="I80" s="231"/>
      <c r="J80" s="234"/>
      <c r="K80" s="234"/>
      <c r="L80" s="234"/>
      <c r="M80" s="234"/>
      <c r="N80" s="234"/>
      <c r="O80" s="234"/>
      <c r="P80" s="234"/>
      <c r="Q80" s="233"/>
      <c r="R80" s="229"/>
      <c r="S80" s="229"/>
      <c r="T80" s="155"/>
      <c r="U80" s="155"/>
      <c r="V80" s="164"/>
    </row>
    <row r="81" spans="1:22" s="160" customFormat="1">
      <c r="A81" s="286" t="s">
        <v>1467</v>
      </c>
      <c r="B81" s="291"/>
      <c r="C81" s="231"/>
      <c r="D81" s="232"/>
      <c r="E81" s="232"/>
      <c r="F81" s="232"/>
      <c r="G81" s="233"/>
      <c r="H81" s="234"/>
      <c r="I81" s="231"/>
      <c r="J81" s="234"/>
      <c r="K81" s="234"/>
      <c r="L81" s="234"/>
      <c r="M81" s="234"/>
      <c r="N81" s="234"/>
      <c r="O81" s="234"/>
      <c r="P81" s="234"/>
      <c r="Q81" s="233"/>
      <c r="R81" s="229"/>
      <c r="S81" s="229"/>
      <c r="T81" s="155"/>
      <c r="U81" s="155"/>
      <c r="V81" s="164"/>
    </row>
    <row r="82" spans="1:22" s="160" customFormat="1">
      <c r="A82" s="237" t="s">
        <v>930</v>
      </c>
      <c r="B82" s="267">
        <v>80313</v>
      </c>
      <c r="C82" s="231"/>
      <c r="D82" s="232"/>
      <c r="E82" s="232"/>
      <c r="F82" s="232"/>
      <c r="G82" s="272"/>
      <c r="I82" s="270"/>
      <c r="J82" s="234"/>
      <c r="K82" s="234"/>
      <c r="L82" s="234"/>
      <c r="M82" s="234"/>
      <c r="N82" s="234"/>
      <c r="O82" s="234"/>
      <c r="P82" s="234"/>
      <c r="Q82" s="272"/>
      <c r="R82" s="229" t="s">
        <v>931</v>
      </c>
      <c r="S82" s="229"/>
      <c r="T82" s="155"/>
      <c r="U82" s="155"/>
    </row>
    <row r="83" spans="1:22" s="160" customFormat="1">
      <c r="A83" s="237" t="s">
        <v>932</v>
      </c>
      <c r="B83" s="267">
        <f>75000+83118+55153</f>
        <v>213271</v>
      </c>
      <c r="C83" s="231"/>
      <c r="D83" s="232"/>
      <c r="E83" s="232"/>
      <c r="F83" s="232"/>
      <c r="G83" s="272"/>
      <c r="I83" s="270"/>
      <c r="J83" s="234"/>
      <c r="K83" s="234"/>
      <c r="L83" s="234"/>
      <c r="M83" s="234"/>
      <c r="N83" s="234"/>
      <c r="O83" s="234"/>
      <c r="P83" s="234"/>
      <c r="Q83" s="272"/>
      <c r="R83" s="229" t="s">
        <v>1471</v>
      </c>
      <c r="S83" s="229"/>
      <c r="T83" s="155"/>
      <c r="U83" s="155"/>
    </row>
    <row r="84" spans="1:22" s="160" customFormat="1">
      <c r="A84" s="237" t="s">
        <v>933</v>
      </c>
      <c r="B84" s="267">
        <f>57420+55020</f>
        <v>112440</v>
      </c>
      <c r="C84" s="231"/>
      <c r="D84" s="232"/>
      <c r="E84" s="232"/>
      <c r="F84" s="232"/>
      <c r="G84" s="272"/>
      <c r="I84" s="270"/>
      <c r="J84" s="234"/>
      <c r="K84" s="234"/>
      <c r="L84" s="234"/>
      <c r="M84" s="234"/>
      <c r="N84" s="234"/>
      <c r="O84" s="234"/>
      <c r="P84" s="234"/>
      <c r="Q84" s="272"/>
      <c r="R84" s="229" t="s">
        <v>1472</v>
      </c>
      <c r="S84" s="229"/>
      <c r="T84" s="155"/>
      <c r="U84" s="155"/>
    </row>
    <row r="85" spans="1:22">
      <c r="A85" s="237" t="s">
        <v>934</v>
      </c>
      <c r="B85" s="267">
        <f>61693.87+(0.5*58865.54)+47517.81</f>
        <v>138644.45000000001</v>
      </c>
      <c r="C85" s="231"/>
      <c r="D85" s="232"/>
      <c r="E85" s="232"/>
      <c r="F85" s="232"/>
      <c r="G85" s="272"/>
      <c r="H85" s="160"/>
      <c r="I85" s="270"/>
      <c r="J85" s="234"/>
      <c r="K85" s="234"/>
      <c r="L85" s="234"/>
      <c r="M85" s="234"/>
      <c r="N85" s="234"/>
      <c r="O85" s="234"/>
      <c r="P85" s="234"/>
      <c r="Q85" s="272"/>
      <c r="R85" s="234" t="s">
        <v>1473</v>
      </c>
      <c r="S85" s="229"/>
      <c r="T85" s="155"/>
      <c r="U85" s="155"/>
    </row>
    <row r="86" spans="1:22" s="160" customFormat="1">
      <c r="A86" s="237" t="s">
        <v>935</v>
      </c>
      <c r="B86" s="267">
        <f>80313.21+(0.5*58865.54)+61693+57004.81</f>
        <v>228443.79</v>
      </c>
      <c r="C86" s="231"/>
      <c r="D86" s="232"/>
      <c r="E86" s="232"/>
      <c r="F86" s="232"/>
      <c r="G86" s="272"/>
      <c r="I86" s="270"/>
      <c r="J86" s="234"/>
      <c r="K86" s="234"/>
      <c r="L86" s="234"/>
      <c r="M86" s="234"/>
      <c r="N86" s="234"/>
      <c r="O86" s="234"/>
      <c r="P86" s="234"/>
      <c r="Q86" s="272"/>
      <c r="R86" s="229" t="s">
        <v>936</v>
      </c>
      <c r="S86" s="229"/>
      <c r="T86" s="155"/>
      <c r="U86" s="155"/>
    </row>
    <row r="87" spans="1:22">
      <c r="A87" s="237" t="s">
        <v>937</v>
      </c>
      <c r="B87" s="267">
        <f>70301.91+55588.18+60615.12</f>
        <v>186505.21</v>
      </c>
      <c r="C87" s="231"/>
      <c r="D87" s="232"/>
      <c r="E87" s="232"/>
      <c r="F87" s="232"/>
      <c r="G87" s="272"/>
      <c r="H87" s="160"/>
      <c r="I87" s="270"/>
      <c r="J87" s="234"/>
      <c r="K87" s="234"/>
      <c r="L87" s="234"/>
      <c r="M87" s="234"/>
      <c r="N87" s="234"/>
      <c r="O87" s="234"/>
      <c r="P87" s="234"/>
      <c r="Q87" s="272"/>
      <c r="R87" s="229" t="s">
        <v>1474</v>
      </c>
      <c r="S87" s="229"/>
      <c r="T87" s="155"/>
      <c r="U87" s="155"/>
    </row>
    <row r="88" spans="1:22" s="160" customFormat="1">
      <c r="A88" s="237" t="s">
        <v>927</v>
      </c>
      <c r="B88" s="267">
        <f>SUM(B82:B87)*0.35</f>
        <v>335866.10749999998</v>
      </c>
      <c r="C88" s="231"/>
      <c r="D88" s="232"/>
      <c r="E88" s="232"/>
      <c r="F88" s="232"/>
      <c r="G88" s="272"/>
      <c r="I88" s="270"/>
      <c r="J88" s="234"/>
      <c r="K88" s="234"/>
      <c r="L88" s="234"/>
      <c r="M88" s="234"/>
      <c r="N88" s="234"/>
      <c r="O88" s="234"/>
      <c r="P88" s="234"/>
      <c r="Q88" s="272"/>
      <c r="R88" s="155"/>
      <c r="S88" s="155"/>
      <c r="T88" s="155"/>
      <c r="U88" s="155"/>
    </row>
    <row r="89" spans="1:22">
      <c r="A89" s="155" t="s">
        <v>938</v>
      </c>
      <c r="B89" s="387">
        <f>SUM(B82:B88)</f>
        <v>1295483.5574999999</v>
      </c>
      <c r="C89" s="231">
        <f>$B$89*C115</f>
        <v>184786.78886611052</v>
      </c>
      <c r="D89" s="232">
        <f>$B$89*D115</f>
        <v>44163.804010138207</v>
      </c>
      <c r="E89" s="232">
        <f>$B$89*E115</f>
        <v>69316.211296170513</v>
      </c>
      <c r="F89" s="232">
        <f>$B$89*F115</f>
        <v>997216.75332758063</v>
      </c>
      <c r="G89" s="233">
        <f>SUM(C89:F89)</f>
        <v>1295483.5574999999</v>
      </c>
      <c r="H89" s="160"/>
      <c r="I89" s="270"/>
      <c r="J89" s="234"/>
      <c r="K89" s="234"/>
      <c r="L89" s="234"/>
      <c r="M89" s="234"/>
      <c r="N89" s="234"/>
      <c r="O89" s="234"/>
      <c r="P89" s="234"/>
      <c r="Q89" s="298"/>
      <c r="R89" s="229"/>
      <c r="S89" s="229"/>
      <c r="T89" s="155"/>
      <c r="U89" s="155"/>
    </row>
    <row r="90" spans="1:22">
      <c r="A90" s="269" t="s">
        <v>939</v>
      </c>
      <c r="B90" s="269"/>
      <c r="C90" s="231">
        <f>-C89</f>
        <v>-184786.78886611052</v>
      </c>
      <c r="D90" s="232">
        <f>-D89</f>
        <v>-44163.804010138207</v>
      </c>
      <c r="E90" s="232">
        <f>-E89</f>
        <v>-69316.211296170513</v>
      </c>
      <c r="F90" s="232">
        <f>-SUM(C90:E90)</f>
        <v>298266.80417241924</v>
      </c>
      <c r="G90" s="233">
        <f>SUM(C90:F90)</f>
        <v>0</v>
      </c>
      <c r="H90" s="234"/>
      <c r="I90" s="231"/>
      <c r="J90" s="234"/>
      <c r="K90" s="234"/>
      <c r="L90" s="234"/>
      <c r="M90" s="234"/>
      <c r="N90" s="234"/>
      <c r="O90" s="234"/>
      <c r="P90" s="234"/>
      <c r="Q90" s="233"/>
      <c r="R90" s="229"/>
      <c r="S90" s="229"/>
      <c r="T90" s="155"/>
      <c r="U90" s="155"/>
    </row>
    <row r="91" spans="1:22">
      <c r="A91" s="154" t="s">
        <v>940</v>
      </c>
      <c r="B91" s="154"/>
      <c r="C91" s="264">
        <f>C89+C90</f>
        <v>0</v>
      </c>
      <c r="D91" s="266">
        <f>D89+D90</f>
        <v>0</v>
      </c>
      <c r="E91" s="266">
        <f>E89+E90</f>
        <v>0</v>
      </c>
      <c r="F91" s="266">
        <f>F89+F90</f>
        <v>1295483.5574999999</v>
      </c>
      <c r="G91" s="233">
        <f>SUM(C91:F91)</f>
        <v>1295483.5574999999</v>
      </c>
      <c r="H91" s="241"/>
      <c r="I91" s="264"/>
      <c r="J91" s="241"/>
      <c r="K91" s="241"/>
      <c r="L91" s="241"/>
      <c r="M91" s="241"/>
      <c r="N91" s="241"/>
      <c r="O91" s="241"/>
      <c r="P91" s="241"/>
      <c r="Q91" s="265"/>
      <c r="R91" s="229"/>
      <c r="S91" s="229"/>
      <c r="T91" s="155"/>
      <c r="U91" s="155"/>
    </row>
    <row r="92" spans="1:22" s="254" customFormat="1">
      <c r="A92" s="248"/>
      <c r="B92" s="248"/>
      <c r="C92" s="299"/>
      <c r="D92" s="300"/>
      <c r="E92" s="300"/>
      <c r="F92" s="300"/>
      <c r="G92" s="301"/>
      <c r="H92" s="300"/>
      <c r="I92" s="299"/>
      <c r="J92" s="248"/>
      <c r="K92" s="248"/>
      <c r="L92" s="248"/>
      <c r="M92" s="248"/>
      <c r="N92" s="248"/>
      <c r="O92" s="248"/>
      <c r="P92" s="248"/>
      <c r="Q92" s="301"/>
      <c r="R92" s="248"/>
      <c r="S92" s="248"/>
      <c r="T92" s="248"/>
      <c r="U92" s="248"/>
    </row>
    <row r="93" spans="1:22" ht="12.75" thickBot="1">
      <c r="A93" s="302" t="s">
        <v>1475</v>
      </c>
      <c r="B93" s="302"/>
      <c r="C93" s="392">
        <f>C26+C33+C62+C67+C78+C91</f>
        <v>275430.11687337124</v>
      </c>
      <c r="D93" s="393">
        <f>D26+D33+D62+D67+D78+D91</f>
        <v>57430.00800333143</v>
      </c>
      <c r="E93" s="393">
        <f>E26+E33+E62+E67+E78+E91</f>
        <v>90302.927016260757</v>
      </c>
      <c r="F93" s="393">
        <f>F26+F33+F62+F67+F78+F91</f>
        <v>3748536.9263570365</v>
      </c>
      <c r="G93" s="391">
        <f>G26+G33+G62+G67+G78+G91</f>
        <v>4171699.9782499997</v>
      </c>
      <c r="H93" s="266" t="s">
        <v>941</v>
      </c>
      <c r="I93" s="303"/>
      <c r="J93" s="393"/>
      <c r="K93" s="393"/>
      <c r="L93" s="393"/>
      <c r="M93" s="393"/>
      <c r="N93" s="393"/>
      <c r="O93" s="393"/>
      <c r="P93" s="393"/>
      <c r="Q93" s="391"/>
      <c r="R93" s="155"/>
      <c r="S93" s="155"/>
      <c r="T93" s="155"/>
      <c r="U93" s="155"/>
    </row>
    <row r="94" spans="1:22" s="115" customFormat="1" ht="13.5" thickTop="1">
      <c r="A94" s="254"/>
      <c r="B94" s="254"/>
      <c r="C94" s="304"/>
      <c r="D94" s="304"/>
      <c r="E94" s="304"/>
      <c r="F94" s="304"/>
      <c r="G94" s="305"/>
      <c r="H94" s="306"/>
      <c r="I94" s="304"/>
      <c r="J94" s="304"/>
      <c r="K94" s="304"/>
      <c r="L94" s="304"/>
      <c r="M94" s="304"/>
      <c r="N94" s="304"/>
      <c r="O94" s="304"/>
      <c r="P94" s="304"/>
      <c r="Q94" s="304"/>
      <c r="R94" s="254"/>
      <c r="S94" s="254"/>
      <c r="T94" s="254"/>
      <c r="U94" s="254"/>
    </row>
    <row r="95" spans="1:22" s="115" customFormat="1" ht="12.75">
      <c r="A95" s="302"/>
      <c r="B95" s="302"/>
      <c r="C95" s="258"/>
      <c r="D95" s="258"/>
      <c r="E95" s="258"/>
      <c r="F95" s="258"/>
      <c r="G95" s="258"/>
      <c r="H95" s="258"/>
      <c r="I95" s="258"/>
      <c r="J95" s="258"/>
      <c r="K95" s="258"/>
      <c r="L95" s="258"/>
      <c r="M95" s="258"/>
      <c r="N95" s="258"/>
      <c r="O95" s="258"/>
      <c r="P95" s="258"/>
      <c r="Q95" s="258"/>
      <c r="R95" s="155"/>
      <c r="S95" s="155"/>
      <c r="T95" s="155"/>
      <c r="U95" s="155"/>
    </row>
    <row r="96" spans="1:22" s="115" customFormat="1" ht="12.75">
      <c r="A96" s="307"/>
      <c r="B96" s="307"/>
      <c r="C96" s="294"/>
      <c r="D96" s="294"/>
      <c r="E96" s="294"/>
      <c r="F96" s="294"/>
      <c r="G96" s="294"/>
      <c r="H96" s="294"/>
      <c r="I96" s="294"/>
      <c r="J96" s="294"/>
      <c r="K96" s="294"/>
      <c r="L96" s="294"/>
      <c r="M96" s="294"/>
      <c r="N96" s="294"/>
      <c r="O96" s="294"/>
      <c r="P96" s="294"/>
      <c r="Q96" s="294"/>
      <c r="R96" s="254"/>
      <c r="S96" s="254"/>
      <c r="T96" s="254"/>
      <c r="U96" s="254"/>
    </row>
    <row r="97" spans="1:21" s="115" customFormat="1" ht="15">
      <c r="A97" s="402" t="s">
        <v>942</v>
      </c>
      <c r="B97" s="402"/>
      <c r="C97" s="294"/>
      <c r="D97" s="294"/>
      <c r="E97" s="294"/>
      <c r="F97" s="294"/>
      <c r="G97" s="294"/>
      <c r="H97" s="294"/>
      <c r="I97" s="294"/>
      <c r="J97" s="294"/>
      <c r="K97" s="294"/>
      <c r="L97" s="294"/>
      <c r="M97" s="294"/>
      <c r="N97" s="294"/>
      <c r="O97" s="294"/>
      <c r="P97" s="294"/>
      <c r="Q97" s="294"/>
      <c r="R97" s="254"/>
      <c r="S97" s="254"/>
      <c r="T97" s="254"/>
      <c r="U97" s="254"/>
    </row>
    <row r="98" spans="1:21" s="115" customFormat="1" ht="15">
      <c r="A98" s="308"/>
      <c r="B98" s="308"/>
      <c r="C98" s="294"/>
      <c r="D98" s="294"/>
      <c r="E98" s="294"/>
      <c r="F98" s="294"/>
      <c r="G98" s="294"/>
      <c r="H98" s="294"/>
      <c r="I98" s="294"/>
      <c r="J98" s="294"/>
      <c r="K98" s="294"/>
      <c r="L98" s="294"/>
      <c r="M98" s="294"/>
      <c r="N98" s="294"/>
      <c r="O98" s="294"/>
      <c r="P98" s="294"/>
      <c r="Q98" s="294"/>
      <c r="R98" s="254"/>
      <c r="S98" s="254"/>
      <c r="T98" s="254"/>
      <c r="U98" s="254"/>
    </row>
    <row r="99" spans="1:21" s="115" customFormat="1" ht="13.5" thickBot="1">
      <c r="A99" s="286" t="s">
        <v>943</v>
      </c>
      <c r="B99" s="254"/>
      <c r="C99" s="254"/>
      <c r="D99" s="254"/>
      <c r="E99" s="254"/>
      <c r="F99" s="254"/>
      <c r="G99" s="254"/>
      <c r="H99" s="254"/>
      <c r="I99" s="254"/>
      <c r="J99" s="254"/>
      <c r="K99" s="254"/>
      <c r="L99" s="254"/>
      <c r="M99" s="254"/>
      <c r="N99" s="254"/>
      <c r="O99" s="254"/>
      <c r="P99" s="254"/>
      <c r="Q99" s="254"/>
      <c r="R99" s="254"/>
      <c r="S99" s="254"/>
      <c r="T99" s="254"/>
      <c r="U99" s="254"/>
    </row>
    <row r="100" spans="1:21" s="115" customFormat="1" ht="12.75">
      <c r="A100" s="309" t="s">
        <v>1476</v>
      </c>
      <c r="B100" s="310" t="s">
        <v>944</v>
      </c>
      <c r="C100" s="310" t="s">
        <v>853</v>
      </c>
      <c r="D100" s="310" t="s">
        <v>854</v>
      </c>
      <c r="E100" s="310" t="s">
        <v>855</v>
      </c>
      <c r="F100" s="311" t="s">
        <v>856</v>
      </c>
      <c r="L100" s="312"/>
    </row>
    <row r="101" spans="1:21" s="115" customFormat="1" ht="12.75">
      <c r="A101" s="313" t="s">
        <v>945</v>
      </c>
      <c r="B101" s="314">
        <f>SUM(C101:F101)</f>
        <v>212903934.59</v>
      </c>
      <c r="C101" s="314">
        <v>39779225.509999998</v>
      </c>
      <c r="D101" s="314">
        <v>10639396.529999999</v>
      </c>
      <c r="E101" s="314">
        <v>14489279.140000001</v>
      </c>
      <c r="F101" s="315">
        <v>147996033.41</v>
      </c>
      <c r="L101" s="312"/>
    </row>
    <row r="102" spans="1:21" s="115" customFormat="1" ht="12.75">
      <c r="A102" s="313" t="s">
        <v>946</v>
      </c>
      <c r="B102" s="314">
        <f>SUM(C102:F102)</f>
        <v>55841157.019999996</v>
      </c>
      <c r="C102" s="316">
        <v>6202116.5500000007</v>
      </c>
      <c r="D102" s="316">
        <v>1318780.98</v>
      </c>
      <c r="E102" s="316">
        <v>1226850.01</v>
      </c>
      <c r="F102" s="315">
        <v>47093409.479999997</v>
      </c>
      <c r="L102" s="312"/>
    </row>
    <row r="103" spans="1:21" s="115" customFormat="1" ht="12.75">
      <c r="A103" s="313" t="s">
        <v>947</v>
      </c>
      <c r="B103" s="314">
        <f>SUM(C103:F103)</f>
        <v>87433493.680000007</v>
      </c>
      <c r="C103" s="316">
        <v>3130605.71</v>
      </c>
      <c r="D103" s="316">
        <v>0</v>
      </c>
      <c r="E103" s="316">
        <v>2929095.68</v>
      </c>
      <c r="F103" s="315">
        <v>81373792.290000007</v>
      </c>
      <c r="L103" s="312"/>
    </row>
    <row r="104" spans="1:21" s="115" customFormat="1" ht="12.75">
      <c r="A104" s="313" t="s">
        <v>948</v>
      </c>
      <c r="B104" s="314">
        <f>SUM(C104:F104)</f>
        <v>46946613.539999999</v>
      </c>
      <c r="C104" s="316">
        <v>8389523.8399999999</v>
      </c>
      <c r="D104" s="316">
        <v>1784599.98</v>
      </c>
      <c r="E104" s="316">
        <v>2924413.2399999998</v>
      </c>
      <c r="F104" s="315">
        <v>33848076.479999997</v>
      </c>
      <c r="L104" s="312"/>
    </row>
    <row r="105" spans="1:21" s="115" customFormat="1" ht="12.75">
      <c r="A105" s="317" t="s">
        <v>949</v>
      </c>
      <c r="B105" s="318">
        <f>SUM(B101:B104)</f>
        <v>403125198.83000004</v>
      </c>
      <c r="C105" s="318">
        <f>SUM(C101:C104)</f>
        <v>57501471.609999999</v>
      </c>
      <c r="D105" s="318">
        <f>SUM(D101:D104)</f>
        <v>13742777.49</v>
      </c>
      <c r="E105" s="318">
        <f>SUM(E101:E104)</f>
        <v>21569638.07</v>
      </c>
      <c r="F105" s="319">
        <f>SUM(F101:F104)</f>
        <v>310311311.66000003</v>
      </c>
      <c r="L105" s="312"/>
    </row>
    <row r="106" spans="1:21" s="115" customFormat="1" ht="12.75">
      <c r="A106" s="320"/>
      <c r="B106" s="321"/>
      <c r="C106" s="321"/>
      <c r="D106" s="321"/>
      <c r="E106" s="321"/>
      <c r="F106" s="322"/>
      <c r="L106" s="312"/>
    </row>
    <row r="107" spans="1:21" s="115" customFormat="1" ht="12.75">
      <c r="A107" s="317" t="s">
        <v>950</v>
      </c>
      <c r="B107" s="323">
        <f t="shared" ref="B107:B112" si="12">SUM(C107:F107)</f>
        <v>367812783.27000004</v>
      </c>
      <c r="C107" s="321">
        <f>C105</f>
        <v>57501471.609999999</v>
      </c>
      <c r="D107" s="324" t="s">
        <v>951</v>
      </c>
      <c r="E107" s="324" t="s">
        <v>951</v>
      </c>
      <c r="F107" s="322">
        <f>F105</f>
        <v>310311311.66000003</v>
      </c>
      <c r="L107" s="312"/>
    </row>
    <row r="108" spans="1:21" s="115" customFormat="1" ht="12.75">
      <c r="A108" s="317" t="s">
        <v>952</v>
      </c>
      <c r="B108" s="323">
        <f t="shared" si="12"/>
        <v>389382421.34000003</v>
      </c>
      <c r="C108" s="321">
        <f>C105</f>
        <v>57501471.609999999</v>
      </c>
      <c r="D108" s="324" t="s">
        <v>951</v>
      </c>
      <c r="E108" s="321">
        <f>E105</f>
        <v>21569638.07</v>
      </c>
      <c r="F108" s="322">
        <f>F105</f>
        <v>310311311.66000003</v>
      </c>
      <c r="L108" s="312"/>
    </row>
    <row r="109" spans="1:21" s="115" customFormat="1" ht="12.75">
      <c r="A109" s="325" t="s">
        <v>953</v>
      </c>
      <c r="B109" s="323">
        <f t="shared" si="12"/>
        <v>381555560.75999999</v>
      </c>
      <c r="C109" s="321">
        <f>C105</f>
        <v>57501471.609999999</v>
      </c>
      <c r="D109" s="324">
        <f>D105</f>
        <v>13742777.49</v>
      </c>
      <c r="E109" s="324" t="s">
        <v>951</v>
      </c>
      <c r="F109" s="322">
        <f>F105</f>
        <v>310311311.66000003</v>
      </c>
      <c r="L109" s="312"/>
    </row>
    <row r="110" spans="1:21" s="115" customFormat="1" ht="12.75">
      <c r="A110" s="317" t="s">
        <v>954</v>
      </c>
      <c r="B110" s="323">
        <f t="shared" si="12"/>
        <v>345623727.22000003</v>
      </c>
      <c r="C110" s="324" t="s">
        <v>951</v>
      </c>
      <c r="D110" s="321">
        <f>D105</f>
        <v>13742777.49</v>
      </c>
      <c r="E110" s="321">
        <f>E105</f>
        <v>21569638.07</v>
      </c>
      <c r="F110" s="322">
        <f>F105</f>
        <v>310311311.66000003</v>
      </c>
      <c r="L110" s="312"/>
    </row>
    <row r="111" spans="1:21" s="115" customFormat="1" ht="12.75">
      <c r="A111" s="325" t="s">
        <v>955</v>
      </c>
      <c r="B111" s="323">
        <f t="shared" si="12"/>
        <v>92813887.169999987</v>
      </c>
      <c r="C111" s="324">
        <f>C105</f>
        <v>57501471.609999999</v>
      </c>
      <c r="D111" s="321">
        <f>D105</f>
        <v>13742777.49</v>
      </c>
      <c r="E111" s="321">
        <f>E105</f>
        <v>21569638.07</v>
      </c>
      <c r="F111" s="326" t="s">
        <v>951</v>
      </c>
      <c r="L111" s="312"/>
    </row>
    <row r="112" spans="1:21" s="115" customFormat="1" ht="12.75">
      <c r="A112" s="317" t="s">
        <v>956</v>
      </c>
      <c r="B112" s="323">
        <f t="shared" si="12"/>
        <v>35312415.560000002</v>
      </c>
      <c r="C112" s="324" t="s">
        <v>951</v>
      </c>
      <c r="D112" s="324">
        <f>D105</f>
        <v>13742777.49</v>
      </c>
      <c r="E112" s="321">
        <f>E105</f>
        <v>21569638.07</v>
      </c>
      <c r="F112" s="326" t="s">
        <v>951</v>
      </c>
      <c r="L112" s="312"/>
    </row>
    <row r="113" spans="1:21" s="115" customFormat="1" ht="12.75">
      <c r="A113" s="320"/>
      <c r="B113" s="321"/>
      <c r="C113" s="321"/>
      <c r="D113" s="321"/>
      <c r="E113" s="321"/>
      <c r="F113" s="322"/>
      <c r="L113" s="312"/>
    </row>
    <row r="114" spans="1:21" s="115" customFormat="1" ht="12.75">
      <c r="A114" s="325" t="s">
        <v>957</v>
      </c>
      <c r="B114" s="327"/>
      <c r="C114" s="328"/>
      <c r="D114" s="328"/>
      <c r="E114" s="328"/>
      <c r="F114" s="329"/>
      <c r="L114" s="312"/>
    </row>
    <row r="115" spans="1:21" s="115" customFormat="1" ht="12.75">
      <c r="A115" s="313" t="s">
        <v>958</v>
      </c>
      <c r="B115" s="330">
        <f t="shared" ref="B115:B121" si="13">SUM(C115:F115)</f>
        <v>1</v>
      </c>
      <c r="C115" s="395">
        <f>C105/$B105</f>
        <v>0.14263923906738626</v>
      </c>
      <c r="D115" s="395">
        <f>D105/$B105</f>
        <v>3.4090594013686054E-2</v>
      </c>
      <c r="E115" s="395">
        <f>E105/$B105</f>
        <v>5.3506052542986841E-2</v>
      </c>
      <c r="F115" s="396">
        <f>F105/$B105</f>
        <v>0.76976411437594083</v>
      </c>
      <c r="L115" s="312"/>
    </row>
    <row r="116" spans="1:21" ht="12.75">
      <c r="A116" s="313" t="s">
        <v>950</v>
      </c>
      <c r="B116" s="330">
        <f t="shared" si="13"/>
        <v>1</v>
      </c>
      <c r="C116" s="330">
        <f>C107/$B107</f>
        <v>0.15633353223558286</v>
      </c>
      <c r="D116" s="330">
        <v>0</v>
      </c>
      <c r="E116" s="330">
        <v>0</v>
      </c>
      <c r="F116" s="331">
        <f>F107/$B107</f>
        <v>0.84366646776441712</v>
      </c>
      <c r="G116" s="115"/>
      <c r="H116" s="115"/>
      <c r="I116" s="115"/>
      <c r="J116" s="115"/>
      <c r="K116" s="115"/>
      <c r="L116" s="312"/>
      <c r="M116" s="115"/>
      <c r="N116" s="115"/>
      <c r="O116" s="115"/>
      <c r="P116" s="115"/>
      <c r="Q116" s="115"/>
      <c r="R116" s="115"/>
      <c r="S116" s="115"/>
      <c r="T116" s="115"/>
      <c r="U116" s="115"/>
    </row>
    <row r="117" spans="1:21" ht="12.75">
      <c r="A117" s="313" t="s">
        <v>952</v>
      </c>
      <c r="B117" s="330">
        <f t="shared" si="13"/>
        <v>1</v>
      </c>
      <c r="C117" s="330">
        <f>C108/$B108</f>
        <v>0.14767351698137138</v>
      </c>
      <c r="D117" s="330">
        <v>0</v>
      </c>
      <c r="E117" s="330">
        <f>E108/$B108</f>
        <v>5.5394483386721441E-2</v>
      </c>
      <c r="F117" s="331">
        <f>F108/$B108</f>
        <v>0.7969319996319072</v>
      </c>
      <c r="G117" s="115"/>
      <c r="H117" s="115"/>
      <c r="I117" s="115"/>
      <c r="J117" s="115"/>
      <c r="K117" s="115"/>
      <c r="L117" s="312"/>
      <c r="M117" s="115"/>
      <c r="N117" s="115"/>
      <c r="O117" s="115"/>
      <c r="P117" s="115"/>
      <c r="Q117" s="115"/>
      <c r="R117" s="115"/>
      <c r="S117" s="115"/>
      <c r="T117" s="115"/>
      <c r="U117" s="115"/>
    </row>
    <row r="118" spans="1:21" ht="12.75">
      <c r="A118" s="313" t="s">
        <v>953</v>
      </c>
      <c r="B118" s="330">
        <f t="shared" si="13"/>
        <v>1</v>
      </c>
      <c r="C118" s="330">
        <f>C109/$B109</f>
        <v>0.15070274823269753</v>
      </c>
      <c r="D118" s="330">
        <f>D109/$B109</f>
        <v>3.6017762295552716E-2</v>
      </c>
      <c r="E118" s="330">
        <v>0</v>
      </c>
      <c r="F118" s="331">
        <f>F109/$B109</f>
        <v>0.81327948947174988</v>
      </c>
      <c r="G118" s="115"/>
      <c r="H118" s="115"/>
      <c r="I118" s="115"/>
      <c r="J118" s="115"/>
      <c r="K118" s="115"/>
      <c r="L118" s="312"/>
      <c r="M118" s="115"/>
      <c r="N118" s="115"/>
      <c r="O118" s="115"/>
      <c r="P118" s="115"/>
      <c r="Q118" s="115"/>
      <c r="R118" s="115"/>
      <c r="S118" s="115"/>
      <c r="T118" s="115"/>
      <c r="U118" s="115"/>
    </row>
    <row r="119" spans="1:21" ht="12.75">
      <c r="A119" s="313" t="s">
        <v>954</v>
      </c>
      <c r="B119" s="330">
        <f t="shared" si="13"/>
        <v>1</v>
      </c>
      <c r="C119" s="330">
        <v>0</v>
      </c>
      <c r="D119" s="330">
        <f>D110/$B110</f>
        <v>3.9762251279850079E-2</v>
      </c>
      <c r="E119" s="330">
        <f>E110/$B110</f>
        <v>6.2407862572092077E-2</v>
      </c>
      <c r="F119" s="331">
        <f>F110/$B110</f>
        <v>0.89782988614805781</v>
      </c>
      <c r="G119" s="115"/>
      <c r="H119" s="115"/>
      <c r="I119" s="115"/>
      <c r="J119" s="115"/>
      <c r="K119" s="115"/>
      <c r="L119" s="312"/>
      <c r="M119" s="115"/>
      <c r="N119" s="115"/>
      <c r="O119" s="115"/>
      <c r="P119" s="115"/>
      <c r="Q119" s="115"/>
      <c r="R119" s="115"/>
      <c r="S119" s="115"/>
      <c r="T119" s="115"/>
      <c r="U119" s="115"/>
    </row>
    <row r="120" spans="1:21" ht="12.75">
      <c r="A120" s="313" t="s">
        <v>955</v>
      </c>
      <c r="B120" s="330">
        <f t="shared" si="13"/>
        <v>1</v>
      </c>
      <c r="C120" s="330">
        <f>C111/$B111</f>
        <v>0.6195352157234727</v>
      </c>
      <c r="D120" s="330">
        <f>D111/$B111</f>
        <v>0.14806811684148538</v>
      </c>
      <c r="E120" s="330">
        <f>E111/$B111</f>
        <v>0.23239666743504203</v>
      </c>
      <c r="F120" s="331">
        <v>0</v>
      </c>
      <c r="G120" s="115"/>
      <c r="H120" s="115"/>
      <c r="I120" s="115"/>
      <c r="J120" s="115"/>
      <c r="K120" s="115"/>
      <c r="L120" s="312"/>
      <c r="M120" s="115"/>
      <c r="N120" s="115"/>
      <c r="O120" s="115"/>
      <c r="P120" s="115"/>
      <c r="Q120" s="115"/>
      <c r="R120" s="115"/>
      <c r="S120" s="115"/>
      <c r="T120" s="115"/>
      <c r="U120" s="115"/>
    </row>
    <row r="121" spans="1:21" ht="13.5" thickBot="1">
      <c r="A121" s="332" t="s">
        <v>956</v>
      </c>
      <c r="B121" s="333">
        <f t="shared" si="13"/>
        <v>1</v>
      </c>
      <c r="C121" s="333">
        <v>0</v>
      </c>
      <c r="D121" s="333">
        <f>D112/$B112</f>
        <v>0.38917693032495565</v>
      </c>
      <c r="E121" s="333">
        <f>E112/$B112</f>
        <v>0.61082306967504429</v>
      </c>
      <c r="F121" s="334">
        <v>0</v>
      </c>
      <c r="G121" s="115"/>
      <c r="H121" s="115"/>
      <c r="I121" s="115"/>
      <c r="J121" s="115"/>
      <c r="K121" s="115"/>
      <c r="L121" s="312"/>
      <c r="M121" s="115"/>
      <c r="N121" s="115"/>
      <c r="O121" s="115"/>
      <c r="P121" s="115"/>
      <c r="Q121" s="115"/>
      <c r="R121" s="115"/>
      <c r="S121" s="115"/>
      <c r="T121" s="115"/>
      <c r="U121" s="115"/>
    </row>
  </sheetData>
  <mergeCells count="3">
    <mergeCell ref="C4:F4"/>
    <mergeCell ref="I4:Q4"/>
    <mergeCell ref="A97:B97"/>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8"/>
  <sheetViews>
    <sheetView workbookViewId="0">
      <selection activeCell="A5" sqref="A5"/>
    </sheetView>
  </sheetViews>
  <sheetFormatPr defaultRowHeight="16.5"/>
  <cols>
    <col min="1" max="1" width="49" customWidth="1"/>
    <col min="2" max="3" width="12.125" bestFit="1" customWidth="1"/>
    <col min="4" max="4" width="13.625" customWidth="1"/>
    <col min="5" max="5" width="13.875" customWidth="1"/>
    <col min="6" max="6" width="14.75" customWidth="1"/>
    <col min="7" max="7" width="11.125" bestFit="1" customWidth="1"/>
    <col min="8" max="10" width="12.125" bestFit="1" customWidth="1"/>
    <col min="11" max="11" width="13.875" customWidth="1"/>
    <col min="12" max="12" width="13" customWidth="1"/>
  </cols>
  <sheetData>
    <row r="1" spans="1:12">
      <c r="A1" t="s">
        <v>354</v>
      </c>
    </row>
    <row r="3" spans="1:12" ht="17.25">
      <c r="B3" s="98">
        <v>2012</v>
      </c>
      <c r="C3" s="98">
        <v>2013</v>
      </c>
      <c r="D3" s="98">
        <v>2014</v>
      </c>
      <c r="E3" s="98">
        <v>2015</v>
      </c>
      <c r="F3" s="98">
        <v>2016</v>
      </c>
      <c r="G3" s="98">
        <v>2017</v>
      </c>
      <c r="H3" s="98">
        <v>2018</v>
      </c>
      <c r="I3" s="98">
        <v>2019</v>
      </c>
      <c r="J3" s="98">
        <v>2020</v>
      </c>
      <c r="K3" s="98">
        <v>2021</v>
      </c>
      <c r="L3" s="98">
        <v>2022</v>
      </c>
    </row>
    <row r="4" spans="1:12">
      <c r="A4" s="148" t="s">
        <v>355</v>
      </c>
      <c r="B4" s="336"/>
      <c r="C4" s="336">
        <v>29401</v>
      </c>
      <c r="D4" s="336"/>
      <c r="E4" s="336"/>
      <c r="F4" s="336">
        <v>27785</v>
      </c>
      <c r="G4" s="336"/>
      <c r="H4" s="336"/>
      <c r="I4" s="336">
        <v>27785</v>
      </c>
      <c r="J4" s="336"/>
      <c r="K4" s="336"/>
      <c r="L4" s="336">
        <v>27785</v>
      </c>
    </row>
    <row r="5" spans="1:12">
      <c r="A5" s="148" t="s">
        <v>1378</v>
      </c>
      <c r="B5" s="336">
        <f>'Smartnet Detailed'!J39</f>
        <v>47167.869999999995</v>
      </c>
      <c r="C5" s="336"/>
      <c r="D5" s="336">
        <f>B5</f>
        <v>47167.869999999995</v>
      </c>
      <c r="E5" s="336"/>
      <c r="F5" s="336">
        <f>D5</f>
        <v>47167.869999999995</v>
      </c>
      <c r="G5" s="336"/>
      <c r="H5" s="336">
        <f>F5</f>
        <v>47167.869999999995</v>
      </c>
      <c r="I5" s="336"/>
      <c r="J5" s="336">
        <f>H5</f>
        <v>47167.869999999995</v>
      </c>
      <c r="K5" s="336"/>
      <c r="L5" s="336">
        <f>J5</f>
        <v>47167.869999999995</v>
      </c>
    </row>
    <row r="6" spans="1:12">
      <c r="A6" s="148" t="s">
        <v>986</v>
      </c>
      <c r="B6" s="336">
        <v>600</v>
      </c>
      <c r="C6" s="336">
        <v>600</v>
      </c>
      <c r="D6" s="336">
        <v>600</v>
      </c>
      <c r="E6" s="336">
        <v>600</v>
      </c>
      <c r="F6" s="336">
        <v>600</v>
      </c>
      <c r="G6" s="336">
        <v>600</v>
      </c>
      <c r="H6" s="336">
        <v>600</v>
      </c>
      <c r="I6" s="336">
        <v>600</v>
      </c>
      <c r="J6" s="336">
        <v>600</v>
      </c>
      <c r="K6" s="336">
        <v>600</v>
      </c>
      <c r="L6" s="336">
        <v>600</v>
      </c>
    </row>
    <row r="7" spans="1:12">
      <c r="A7" s="122" t="s">
        <v>1014</v>
      </c>
      <c r="B7" s="336">
        <v>2796</v>
      </c>
      <c r="C7" s="336">
        <v>2796</v>
      </c>
      <c r="D7" s="336">
        <v>2796</v>
      </c>
      <c r="E7" s="336">
        <v>2796</v>
      </c>
      <c r="F7" s="336">
        <v>2796</v>
      </c>
      <c r="G7" s="336">
        <v>2796</v>
      </c>
      <c r="H7" s="336">
        <v>2796</v>
      </c>
      <c r="I7" s="336">
        <v>2796</v>
      </c>
      <c r="J7" s="336">
        <v>2796</v>
      </c>
      <c r="K7" s="336">
        <v>2796</v>
      </c>
      <c r="L7" s="336">
        <v>2796</v>
      </c>
    </row>
    <row r="8" spans="1:12">
      <c r="A8" s="148" t="s">
        <v>1030</v>
      </c>
      <c r="B8" s="336">
        <v>30559</v>
      </c>
      <c r="C8" s="336"/>
      <c r="D8" s="336"/>
      <c r="E8" s="336"/>
      <c r="F8" s="336">
        <v>35000</v>
      </c>
      <c r="G8" s="336"/>
      <c r="H8" s="336"/>
      <c r="I8" s="336"/>
      <c r="J8" s="336">
        <v>100000</v>
      </c>
      <c r="K8" s="336"/>
      <c r="L8" s="336"/>
    </row>
    <row r="9" spans="1:12">
      <c r="A9" s="148" t="s">
        <v>1031</v>
      </c>
      <c r="B9" s="336">
        <v>5882</v>
      </c>
      <c r="C9" s="336">
        <v>5882</v>
      </c>
      <c r="D9" s="336">
        <v>5882</v>
      </c>
      <c r="E9" s="336">
        <v>5882</v>
      </c>
      <c r="F9" s="336">
        <v>5882</v>
      </c>
      <c r="G9" s="336">
        <v>5882</v>
      </c>
      <c r="H9" s="336">
        <v>5882</v>
      </c>
      <c r="I9" s="336">
        <v>5882</v>
      </c>
      <c r="J9" s="336">
        <v>5882</v>
      </c>
      <c r="K9" s="336">
        <v>5882</v>
      </c>
      <c r="L9" s="336">
        <v>5882</v>
      </c>
    </row>
    <row r="10" spans="1:12">
      <c r="A10" s="148" t="s">
        <v>1015</v>
      </c>
      <c r="B10" s="336">
        <v>52200</v>
      </c>
      <c r="C10" s="336">
        <v>5108.24</v>
      </c>
      <c r="D10" s="336">
        <v>5108.24</v>
      </c>
      <c r="E10" s="336">
        <v>5108.24</v>
      </c>
      <c r="F10" s="336">
        <v>5108.24</v>
      </c>
      <c r="G10" s="336">
        <v>5108.24</v>
      </c>
      <c r="H10" s="336">
        <v>5108.24</v>
      </c>
      <c r="I10" s="336">
        <v>5108.24</v>
      </c>
      <c r="J10" s="336">
        <v>52200</v>
      </c>
      <c r="K10" s="336">
        <v>5108.24</v>
      </c>
      <c r="L10" s="336">
        <v>5108.24</v>
      </c>
    </row>
    <row r="11" spans="1:12">
      <c r="A11" s="148" t="s">
        <v>1016</v>
      </c>
      <c r="B11" s="336">
        <v>41940.559999999998</v>
      </c>
      <c r="C11" s="336"/>
      <c r="D11" s="336"/>
      <c r="E11" s="336">
        <v>20000</v>
      </c>
      <c r="F11" s="336"/>
      <c r="G11" s="336">
        <v>20000</v>
      </c>
      <c r="H11" s="336"/>
      <c r="I11" s="336">
        <v>20000</v>
      </c>
      <c r="J11" s="336"/>
      <c r="K11" s="336">
        <v>20000</v>
      </c>
      <c r="L11" s="336"/>
    </row>
    <row r="12" spans="1:12">
      <c r="A12" s="148" t="s">
        <v>1377</v>
      </c>
      <c r="B12" s="336"/>
      <c r="C12" s="336">
        <f>'Network &amp; Wireless Upgrade EST'!K19</f>
        <v>137565</v>
      </c>
      <c r="D12" s="336">
        <f>'Network &amp; Wireless Upgrade EST'!K45</f>
        <v>151605</v>
      </c>
      <c r="E12" s="336"/>
      <c r="F12" s="336"/>
      <c r="G12" s="336"/>
      <c r="H12" s="336">
        <f>C12</f>
        <v>137565</v>
      </c>
      <c r="I12" s="336">
        <f>D12</f>
        <v>151605</v>
      </c>
      <c r="J12" s="336"/>
      <c r="K12" s="336"/>
      <c r="L12" s="336"/>
    </row>
    <row r="13" spans="1:12">
      <c r="A13" s="148" t="s">
        <v>1379</v>
      </c>
      <c r="B13" s="336"/>
      <c r="C13" s="336">
        <v>952.74</v>
      </c>
      <c r="D13" s="336">
        <v>952.74</v>
      </c>
      <c r="E13" s="336">
        <v>952.74</v>
      </c>
      <c r="F13" s="336">
        <v>952.74</v>
      </c>
      <c r="G13" s="336">
        <v>952.74</v>
      </c>
      <c r="H13" s="336">
        <v>952.74</v>
      </c>
      <c r="I13" s="336">
        <v>952.74</v>
      </c>
      <c r="J13" s="336">
        <v>952.74</v>
      </c>
      <c r="K13" s="336">
        <v>952.74</v>
      </c>
      <c r="L13" s="336">
        <v>952.74</v>
      </c>
    </row>
    <row r="14" spans="1:12">
      <c r="A14" s="148" t="s">
        <v>1383</v>
      </c>
      <c r="B14" s="336"/>
      <c r="C14" s="336">
        <v>4495</v>
      </c>
      <c r="D14" s="336">
        <v>4495</v>
      </c>
      <c r="E14" s="336">
        <v>4495</v>
      </c>
      <c r="F14" s="336">
        <v>4495</v>
      </c>
      <c r="G14" s="336">
        <v>4495</v>
      </c>
      <c r="H14" s="336">
        <v>4495</v>
      </c>
      <c r="I14" s="336">
        <v>4495</v>
      </c>
      <c r="J14" s="336">
        <v>4495</v>
      </c>
      <c r="K14" s="336">
        <v>4495</v>
      </c>
      <c r="L14" s="336">
        <v>4495</v>
      </c>
    </row>
    <row r="15" spans="1:12">
      <c r="A15" s="148" t="s">
        <v>1035</v>
      </c>
      <c r="B15" s="336">
        <v>4599</v>
      </c>
      <c r="C15" s="336">
        <v>4599</v>
      </c>
      <c r="D15" s="336">
        <v>4599</v>
      </c>
      <c r="E15" s="336">
        <v>4599</v>
      </c>
      <c r="F15" s="336">
        <v>4599</v>
      </c>
      <c r="G15" s="336">
        <v>4599</v>
      </c>
      <c r="H15" s="336">
        <v>4599</v>
      </c>
      <c r="I15" s="336">
        <v>4599</v>
      </c>
      <c r="J15" s="336">
        <v>4599</v>
      </c>
      <c r="K15" s="336">
        <v>4599</v>
      </c>
      <c r="L15" s="336">
        <v>4599</v>
      </c>
    </row>
    <row r="16" spans="1:12">
      <c r="A16" s="146"/>
      <c r="B16" s="349"/>
      <c r="C16" s="349"/>
      <c r="D16" s="349"/>
      <c r="E16" s="349"/>
      <c r="F16" s="349"/>
      <c r="G16" s="349"/>
      <c r="H16" s="349"/>
      <c r="I16" s="349"/>
      <c r="J16" s="349"/>
      <c r="K16" s="349"/>
      <c r="L16" s="349"/>
    </row>
    <row r="18" spans="1:12" ht="17.25">
      <c r="A18" t="s">
        <v>982</v>
      </c>
      <c r="B18" s="37">
        <f>SUM(B5:B17)</f>
        <v>185744.43</v>
      </c>
      <c r="C18" s="37">
        <f>SUM(C4:C17)</f>
        <v>191398.97999999998</v>
      </c>
      <c r="D18" s="37">
        <f t="shared" ref="D18:L18" si="0">SUM(D4:D17)</f>
        <v>223205.84999999998</v>
      </c>
      <c r="E18" s="37">
        <f t="shared" si="0"/>
        <v>44432.979999999996</v>
      </c>
      <c r="F18" s="37">
        <f t="shared" si="0"/>
        <v>134385.85</v>
      </c>
      <c r="G18" s="37">
        <f t="shared" si="0"/>
        <v>44432.979999999996</v>
      </c>
      <c r="H18" s="37">
        <f t="shared" si="0"/>
        <v>209165.84999999998</v>
      </c>
      <c r="I18" s="37">
        <f t="shared" si="0"/>
        <v>223822.97999999998</v>
      </c>
      <c r="J18" s="37">
        <f t="shared" si="0"/>
        <v>218692.61</v>
      </c>
      <c r="K18" s="37">
        <f t="shared" si="0"/>
        <v>44432.979999999996</v>
      </c>
      <c r="L18" s="37">
        <f t="shared" si="0"/>
        <v>99385.85</v>
      </c>
    </row>
    <row r="21" spans="1:12"/>
    <row r="25" spans="1:12">
      <c r="A25" s="146"/>
      <c r="B25" s="146"/>
      <c r="C25" s="146"/>
      <c r="D25" s="146"/>
      <c r="E25" s="146"/>
      <c r="F25" s="146"/>
      <c r="G25" s="146"/>
      <c r="H25" s="146"/>
      <c r="I25" s="146"/>
      <c r="J25" s="146"/>
    </row>
    <row r="26" spans="1:12">
      <c r="A26" s="343"/>
      <c r="B26" s="146"/>
      <c r="C26" s="143"/>
      <c r="D26" s="344"/>
      <c r="E26" s="343"/>
      <c r="F26" s="345"/>
      <c r="G26" s="144"/>
      <c r="H26" s="346"/>
      <c r="I26" s="347"/>
      <c r="J26" s="146"/>
    </row>
    <row r="27" spans="1:12">
      <c r="A27" s="146"/>
      <c r="B27" s="146"/>
      <c r="C27" s="146"/>
      <c r="D27" s="146"/>
      <c r="E27" s="146"/>
      <c r="F27" s="146"/>
      <c r="G27" s="146"/>
      <c r="H27" s="146"/>
      <c r="I27" s="146"/>
      <c r="J27" s="146"/>
    </row>
    <row r="28" spans="1:12">
      <c r="A28" s="146"/>
      <c r="B28" s="146"/>
      <c r="C28" s="146"/>
      <c r="D28" s="146"/>
      <c r="E28" s="146"/>
      <c r="F28" s="146"/>
      <c r="G28" s="146"/>
      <c r="H28" s="146"/>
      <c r="I28" s="146"/>
      <c r="J28" s="146"/>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topLeftCell="B19" workbookViewId="0">
      <selection activeCell="D48" sqref="D48"/>
    </sheetView>
  </sheetViews>
  <sheetFormatPr defaultRowHeight="16.5"/>
  <cols>
    <col min="1" max="1" width="30.125" customWidth="1"/>
    <col min="2" max="2" width="41.375" customWidth="1"/>
    <col min="3" max="3" width="20.25" customWidth="1"/>
    <col min="4" max="4" width="15.875" customWidth="1"/>
    <col min="5" max="5" width="21.5" bestFit="1" customWidth="1"/>
    <col min="6" max="7" width="11.125" bestFit="1" customWidth="1"/>
    <col min="8" max="8" width="16.25" customWidth="1"/>
    <col min="9" max="9" width="20.625" customWidth="1"/>
    <col min="10" max="10" width="11.125" bestFit="1" customWidth="1"/>
  </cols>
  <sheetData>
    <row r="1" spans="1:10">
      <c r="A1" t="s">
        <v>351</v>
      </c>
    </row>
    <row r="2" spans="1:10" ht="17.25">
      <c r="B2" s="335">
        <v>2012</v>
      </c>
      <c r="C2" s="335">
        <v>2013</v>
      </c>
      <c r="D2" s="335">
        <v>2014</v>
      </c>
      <c r="E2" s="335">
        <v>2015</v>
      </c>
      <c r="F2" s="335">
        <v>2016</v>
      </c>
      <c r="G2" s="335">
        <v>2017</v>
      </c>
      <c r="H2" s="335">
        <v>2018</v>
      </c>
      <c r="I2" s="335">
        <v>2019</v>
      </c>
      <c r="J2" s="335">
        <v>2020</v>
      </c>
    </row>
    <row r="3" spans="1:10">
      <c r="A3" t="s">
        <v>352</v>
      </c>
      <c r="B3" s="336">
        <v>40515</v>
      </c>
      <c r="C3" s="336">
        <v>4515</v>
      </c>
      <c r="D3" s="336">
        <v>4515</v>
      </c>
      <c r="E3" s="336">
        <v>4515</v>
      </c>
      <c r="F3" s="336">
        <v>4515</v>
      </c>
      <c r="G3" s="336">
        <v>4515</v>
      </c>
      <c r="H3" s="336">
        <v>4515</v>
      </c>
      <c r="I3" s="336">
        <v>4515</v>
      </c>
      <c r="J3" s="336">
        <v>4515</v>
      </c>
    </row>
    <row r="4" spans="1:10">
      <c r="A4" t="s">
        <v>1020</v>
      </c>
      <c r="B4" s="336"/>
      <c r="C4" s="336">
        <f>'MS Campus Agreement Detailed'!E23</f>
        <v>19545.810000000001</v>
      </c>
      <c r="D4" s="336">
        <f>'MS Campus Agreement Detailed'!E23</f>
        <v>19545.810000000001</v>
      </c>
      <c r="E4" s="336">
        <f>'MS Campus Agreement Detailed'!E23</f>
        <v>19545.810000000001</v>
      </c>
      <c r="F4" s="337">
        <f>'MS Campus Agreement Detailed'!E23</f>
        <v>19545.810000000001</v>
      </c>
      <c r="G4" s="336">
        <f>'MS Campus Agreement Detailed'!E23</f>
        <v>19545.810000000001</v>
      </c>
      <c r="H4" s="336">
        <f>'MS Campus Agreement Detailed'!E23</f>
        <v>19545.810000000001</v>
      </c>
      <c r="I4" s="336">
        <f>'MS Campus Agreement Detailed'!E23</f>
        <v>19545.810000000001</v>
      </c>
      <c r="J4" s="337">
        <f>'MS Campus Agreement Detailed'!E23</f>
        <v>19545.810000000001</v>
      </c>
    </row>
    <row r="5" spans="1:10">
      <c r="A5" t="s">
        <v>831</v>
      </c>
      <c r="B5" s="336">
        <v>3141.36</v>
      </c>
      <c r="C5" s="336"/>
      <c r="D5" s="336">
        <v>3141.36</v>
      </c>
      <c r="E5" s="336"/>
      <c r="F5" s="337">
        <v>3141.36</v>
      </c>
      <c r="G5" s="336"/>
      <c r="H5" s="336">
        <v>3141.36</v>
      </c>
      <c r="I5" s="336"/>
      <c r="J5" s="337">
        <v>3141.36</v>
      </c>
    </row>
    <row r="6" spans="1:10">
      <c r="A6" t="s">
        <v>832</v>
      </c>
      <c r="B6" s="336"/>
      <c r="C6" s="336"/>
      <c r="D6" s="336">
        <v>2492.27</v>
      </c>
      <c r="E6" s="336"/>
      <c r="F6" s="337"/>
      <c r="G6" s="336">
        <v>2492.27</v>
      </c>
      <c r="H6" s="336"/>
      <c r="I6" s="336"/>
      <c r="J6" s="337">
        <v>2492.27</v>
      </c>
    </row>
    <row r="7" spans="1:10">
      <c r="A7" t="s">
        <v>833</v>
      </c>
      <c r="B7" s="336"/>
      <c r="C7" s="336">
        <v>168.71</v>
      </c>
      <c r="D7" s="336"/>
      <c r="E7" s="336"/>
      <c r="F7" s="337">
        <v>168.71</v>
      </c>
      <c r="G7" s="336"/>
      <c r="H7" s="336"/>
      <c r="I7" s="336">
        <v>168.71</v>
      </c>
      <c r="J7" s="337"/>
    </row>
    <row r="8" spans="1:10">
      <c r="A8" t="s">
        <v>834</v>
      </c>
      <c r="B8" s="336"/>
      <c r="C8" s="336">
        <v>1822.5</v>
      </c>
      <c r="D8" s="336"/>
      <c r="E8" s="336"/>
      <c r="F8" s="337">
        <v>1822.5</v>
      </c>
      <c r="G8" s="336"/>
      <c r="H8" s="336"/>
      <c r="I8" s="336">
        <v>1822.5</v>
      </c>
      <c r="J8" s="337"/>
    </row>
    <row r="9" spans="1:10">
      <c r="A9" t="s">
        <v>788</v>
      </c>
      <c r="B9" s="336"/>
      <c r="C9" s="336">
        <v>1500</v>
      </c>
      <c r="D9" s="336"/>
      <c r="E9" s="336"/>
      <c r="F9" s="337">
        <v>1500</v>
      </c>
      <c r="G9" s="336"/>
      <c r="H9" s="336"/>
      <c r="I9" s="336">
        <v>1500</v>
      </c>
      <c r="J9" s="337"/>
    </row>
    <row r="10" spans="1:10">
      <c r="A10" t="s">
        <v>835</v>
      </c>
      <c r="B10" s="336">
        <v>2520</v>
      </c>
      <c r="C10" s="336">
        <v>2520</v>
      </c>
      <c r="D10" s="336">
        <v>2520</v>
      </c>
      <c r="E10" s="336">
        <v>2520</v>
      </c>
      <c r="F10" s="336">
        <v>2520</v>
      </c>
      <c r="G10" s="336">
        <v>2520</v>
      </c>
      <c r="H10" s="336">
        <v>2520</v>
      </c>
      <c r="I10" s="336">
        <v>2520</v>
      </c>
      <c r="J10" s="336">
        <v>2520</v>
      </c>
    </row>
    <row r="11" spans="1:10">
      <c r="A11" s="143" t="s">
        <v>836</v>
      </c>
      <c r="B11" s="336">
        <v>1792.59</v>
      </c>
      <c r="C11" s="338">
        <v>1792.59</v>
      </c>
      <c r="D11" s="336">
        <v>1792.59</v>
      </c>
      <c r="E11" s="336">
        <v>1792.59</v>
      </c>
      <c r="F11" s="336">
        <v>1792.59</v>
      </c>
      <c r="G11" s="336">
        <v>1792.59</v>
      </c>
      <c r="H11" s="336">
        <v>1792.59</v>
      </c>
      <c r="I11" s="336">
        <v>1792.59</v>
      </c>
      <c r="J11" s="336">
        <v>1792.59</v>
      </c>
    </row>
    <row r="12" spans="1:10">
      <c r="A12" s="143" t="s">
        <v>793</v>
      </c>
      <c r="B12" s="336">
        <v>500</v>
      </c>
      <c r="C12" s="336">
        <v>500</v>
      </c>
      <c r="D12" s="336">
        <v>500</v>
      </c>
      <c r="E12" s="336">
        <v>500</v>
      </c>
      <c r="F12" s="336">
        <v>500</v>
      </c>
      <c r="G12" s="336">
        <v>500</v>
      </c>
      <c r="H12" s="336">
        <v>500</v>
      </c>
      <c r="I12" s="336">
        <v>500</v>
      </c>
      <c r="J12" s="336">
        <v>500</v>
      </c>
    </row>
    <row r="13" spans="1:10">
      <c r="A13" s="143" t="s">
        <v>794</v>
      </c>
      <c r="B13" s="336">
        <v>950</v>
      </c>
      <c r="C13" s="336">
        <v>950</v>
      </c>
      <c r="D13" s="336">
        <v>950</v>
      </c>
      <c r="E13" s="336">
        <v>950</v>
      </c>
      <c r="F13" s="336">
        <v>950</v>
      </c>
      <c r="G13" s="336">
        <v>950</v>
      </c>
      <c r="H13" s="336">
        <v>950</v>
      </c>
      <c r="I13" s="336">
        <v>950</v>
      </c>
      <c r="J13" s="336">
        <v>950</v>
      </c>
    </row>
    <row r="14" spans="1:10">
      <c r="A14" s="143" t="s">
        <v>838</v>
      </c>
      <c r="B14" s="336">
        <v>2375</v>
      </c>
      <c r="C14" s="336">
        <v>2375</v>
      </c>
      <c r="D14" s="336">
        <v>2375</v>
      </c>
      <c r="E14" s="336">
        <v>2375</v>
      </c>
      <c r="F14" s="336">
        <v>2375</v>
      </c>
      <c r="G14" s="336">
        <v>2375</v>
      </c>
      <c r="H14" s="336">
        <v>2375</v>
      </c>
      <c r="I14" s="336">
        <v>2375</v>
      </c>
      <c r="J14" s="336">
        <v>2375</v>
      </c>
    </row>
    <row r="15" spans="1:10">
      <c r="A15" s="143" t="s">
        <v>839</v>
      </c>
      <c r="B15" s="336">
        <v>2700</v>
      </c>
      <c r="C15" s="336">
        <v>2700</v>
      </c>
      <c r="D15" s="336">
        <v>2700</v>
      </c>
      <c r="E15" s="336">
        <v>2700</v>
      </c>
      <c r="F15" s="336">
        <v>2700</v>
      </c>
      <c r="G15" s="336">
        <v>2700</v>
      </c>
      <c r="H15" s="336">
        <v>2700</v>
      </c>
      <c r="I15" s="336">
        <v>2700</v>
      </c>
      <c r="J15" s="336">
        <v>2700</v>
      </c>
    </row>
    <row r="16" spans="1:10">
      <c r="A16" s="143" t="s">
        <v>807</v>
      </c>
      <c r="B16" s="336">
        <v>1260</v>
      </c>
      <c r="C16" s="336">
        <v>1260</v>
      </c>
      <c r="D16" s="336">
        <v>1260</v>
      </c>
      <c r="E16" s="336">
        <v>1260</v>
      </c>
      <c r="F16" s="336">
        <v>1260</v>
      </c>
      <c r="G16" s="336">
        <v>1260</v>
      </c>
      <c r="H16" s="336">
        <v>1260</v>
      </c>
      <c r="I16" s="336">
        <v>1260</v>
      </c>
      <c r="J16" s="336">
        <v>1260</v>
      </c>
    </row>
    <row r="17" spans="1:10">
      <c r="A17" s="143" t="s">
        <v>810</v>
      </c>
      <c r="B17" s="338">
        <v>25</v>
      </c>
      <c r="C17" s="338">
        <v>25</v>
      </c>
      <c r="D17" s="338">
        <v>25</v>
      </c>
      <c r="E17" s="338">
        <v>25</v>
      </c>
      <c r="F17" s="338">
        <v>25</v>
      </c>
      <c r="G17" s="338">
        <v>25</v>
      </c>
      <c r="H17" s="338">
        <v>25</v>
      </c>
      <c r="I17" s="338">
        <v>25</v>
      </c>
      <c r="J17" s="338">
        <v>25</v>
      </c>
    </row>
    <row r="18" spans="1:10">
      <c r="A18" s="143" t="s">
        <v>812</v>
      </c>
      <c r="B18" s="336">
        <v>2580</v>
      </c>
      <c r="C18" s="336">
        <v>2580</v>
      </c>
      <c r="D18" s="336">
        <v>2580</v>
      </c>
      <c r="E18" s="336">
        <v>2580</v>
      </c>
      <c r="F18" s="336">
        <v>2580</v>
      </c>
      <c r="G18" s="336">
        <v>2580</v>
      </c>
      <c r="H18" s="336">
        <v>2580</v>
      </c>
      <c r="I18" s="336">
        <v>2580</v>
      </c>
      <c r="J18" s="336">
        <v>2580</v>
      </c>
    </row>
    <row r="19" spans="1:10">
      <c r="A19" s="143" t="s">
        <v>842</v>
      </c>
      <c r="B19" s="336">
        <v>40</v>
      </c>
      <c r="C19" s="336">
        <v>40</v>
      </c>
      <c r="D19" s="336">
        <v>40</v>
      </c>
      <c r="E19" s="336">
        <v>40</v>
      </c>
      <c r="F19" s="336">
        <v>40</v>
      </c>
      <c r="G19" s="336">
        <v>40</v>
      </c>
      <c r="H19" s="336">
        <v>40</v>
      </c>
      <c r="I19" s="336">
        <v>40</v>
      </c>
      <c r="J19" s="336">
        <v>40</v>
      </c>
    </row>
    <row r="20" spans="1:10">
      <c r="A20" s="143" t="s">
        <v>812</v>
      </c>
      <c r="B20" s="336"/>
      <c r="C20" s="336"/>
      <c r="D20" s="336"/>
      <c r="E20" s="336"/>
      <c r="F20" s="336"/>
      <c r="G20" s="336"/>
      <c r="H20" s="336"/>
      <c r="I20" s="336"/>
      <c r="J20" s="336"/>
    </row>
    <row r="21" spans="1:10">
      <c r="A21" s="143" t="s">
        <v>840</v>
      </c>
      <c r="B21" s="336">
        <v>99.5</v>
      </c>
      <c r="C21" s="336">
        <v>99.5</v>
      </c>
      <c r="D21" s="336">
        <v>99.5</v>
      </c>
      <c r="E21" s="336">
        <v>99.5</v>
      </c>
      <c r="F21" s="336">
        <v>99.5</v>
      </c>
      <c r="G21" s="336">
        <v>99.5</v>
      </c>
      <c r="H21" s="336">
        <v>99.5</v>
      </c>
      <c r="I21" s="336">
        <v>99.5</v>
      </c>
      <c r="J21" s="336">
        <v>99.5</v>
      </c>
    </row>
    <row r="22" spans="1:10">
      <c r="A22" s="143" t="s">
        <v>843</v>
      </c>
      <c r="B22" s="336">
        <v>7600</v>
      </c>
      <c r="C22" s="336">
        <v>7600</v>
      </c>
      <c r="D22" s="336">
        <v>7600</v>
      </c>
      <c r="E22" s="336">
        <v>7600</v>
      </c>
      <c r="F22" s="336">
        <v>7600</v>
      </c>
      <c r="G22" s="336">
        <v>7600</v>
      </c>
      <c r="H22" s="336">
        <v>7600</v>
      </c>
      <c r="I22" s="336">
        <v>7600</v>
      </c>
      <c r="J22" s="336">
        <v>7600</v>
      </c>
    </row>
    <row r="23" spans="1:10">
      <c r="A23" s="143" t="s">
        <v>967</v>
      </c>
      <c r="B23" s="336">
        <v>2400</v>
      </c>
      <c r="C23" s="336">
        <v>2400</v>
      </c>
      <c r="D23" s="336">
        <v>2400</v>
      </c>
      <c r="E23" s="336">
        <v>2400</v>
      </c>
      <c r="F23" s="336">
        <v>2400</v>
      </c>
      <c r="G23" s="336">
        <v>2400</v>
      </c>
      <c r="H23" s="336">
        <v>2400</v>
      </c>
      <c r="I23" s="336">
        <v>2400</v>
      </c>
      <c r="J23" s="336">
        <v>2400</v>
      </c>
    </row>
    <row r="24" spans="1:10">
      <c r="A24" s="143" t="s">
        <v>973</v>
      </c>
      <c r="B24" s="336">
        <v>1800</v>
      </c>
      <c r="C24" s="336">
        <v>1800</v>
      </c>
      <c r="D24" s="336">
        <v>1800</v>
      </c>
      <c r="E24" s="336">
        <v>1800</v>
      </c>
      <c r="F24" s="336">
        <v>1800</v>
      </c>
      <c r="G24" s="336">
        <v>1800</v>
      </c>
      <c r="H24" s="336">
        <v>1800</v>
      </c>
      <c r="I24" s="336">
        <v>1800</v>
      </c>
      <c r="J24" s="336">
        <v>1800</v>
      </c>
    </row>
    <row r="25" spans="1:10">
      <c r="A25" s="143" t="s">
        <v>974</v>
      </c>
      <c r="B25" s="336">
        <v>780</v>
      </c>
      <c r="C25" s="336">
        <v>780</v>
      </c>
      <c r="D25" s="336">
        <v>780</v>
      </c>
      <c r="E25" s="336">
        <v>780</v>
      </c>
      <c r="F25" s="336">
        <v>780</v>
      </c>
      <c r="G25" s="336">
        <v>780</v>
      </c>
      <c r="H25" s="336">
        <v>780</v>
      </c>
      <c r="I25" s="336">
        <v>780</v>
      </c>
      <c r="J25" s="336">
        <v>780</v>
      </c>
    </row>
    <row r="26" spans="1:10">
      <c r="A26" s="143" t="s">
        <v>978</v>
      </c>
      <c r="B26" s="336">
        <v>720</v>
      </c>
      <c r="C26" s="336">
        <v>720</v>
      </c>
      <c r="D26" s="336">
        <v>720</v>
      </c>
      <c r="E26" s="336">
        <v>720</v>
      </c>
      <c r="F26" s="336">
        <v>720</v>
      </c>
      <c r="G26" s="336">
        <v>720</v>
      </c>
      <c r="H26" s="336">
        <v>720</v>
      </c>
      <c r="I26" s="336">
        <v>720</v>
      </c>
      <c r="J26" s="336">
        <v>720</v>
      </c>
    </row>
    <row r="27" spans="1:10">
      <c r="A27" s="143" t="s">
        <v>979</v>
      </c>
      <c r="B27" s="336">
        <v>3975</v>
      </c>
      <c r="C27" s="336"/>
      <c r="D27" s="336">
        <v>3975</v>
      </c>
      <c r="E27" s="336"/>
      <c r="F27" s="336">
        <v>3975</v>
      </c>
      <c r="G27" s="336"/>
      <c r="H27" s="336">
        <v>3975</v>
      </c>
      <c r="I27" s="336"/>
      <c r="J27" s="336">
        <v>3975</v>
      </c>
    </row>
    <row r="28" spans="1:10">
      <c r="A28" s="143" t="s">
        <v>980</v>
      </c>
      <c r="B28" s="336">
        <v>1225</v>
      </c>
      <c r="C28" s="336"/>
      <c r="D28" s="336">
        <v>1225</v>
      </c>
      <c r="E28" s="336"/>
      <c r="F28" s="336">
        <v>1225</v>
      </c>
      <c r="G28" s="336"/>
      <c r="H28" s="336">
        <v>1225</v>
      </c>
      <c r="I28" s="336"/>
      <c r="J28" s="336">
        <v>1225</v>
      </c>
    </row>
    <row r="29" spans="1:10">
      <c r="A29" s="143" t="s">
        <v>1021</v>
      </c>
      <c r="B29" s="336">
        <v>12650</v>
      </c>
      <c r="C29" s="336"/>
      <c r="D29" s="336">
        <v>12650</v>
      </c>
      <c r="E29" s="336"/>
      <c r="F29" s="336">
        <v>12650</v>
      </c>
      <c r="G29" s="336"/>
      <c r="H29" s="336">
        <v>12650</v>
      </c>
      <c r="I29" s="336"/>
      <c r="J29" s="336">
        <v>12650</v>
      </c>
    </row>
    <row r="30" spans="1:10">
      <c r="A30" s="143" t="s">
        <v>1024</v>
      </c>
      <c r="B30" s="336">
        <v>6237</v>
      </c>
      <c r="C30" s="336"/>
      <c r="D30" s="336">
        <v>6237</v>
      </c>
      <c r="E30" s="336"/>
      <c r="F30" s="336">
        <v>6237</v>
      </c>
      <c r="G30" s="336"/>
      <c r="H30" s="336">
        <v>6237</v>
      </c>
      <c r="I30" s="336"/>
      <c r="J30" s="336">
        <v>6237</v>
      </c>
    </row>
    <row r="31" spans="1:10">
      <c r="A31" s="143" t="s">
        <v>985</v>
      </c>
      <c r="B31" s="336">
        <v>750</v>
      </c>
      <c r="C31" s="336">
        <v>750</v>
      </c>
      <c r="D31" s="336"/>
      <c r="E31" s="336"/>
      <c r="F31" s="336"/>
      <c r="G31" s="336"/>
      <c r="H31" s="336"/>
      <c r="I31" s="336"/>
      <c r="J31" s="336"/>
    </row>
    <row r="32" spans="1:10">
      <c r="A32" s="143" t="s">
        <v>991</v>
      </c>
      <c r="B32" s="336"/>
      <c r="C32" s="336"/>
      <c r="D32" s="336">
        <v>178.47</v>
      </c>
      <c r="E32" s="336"/>
      <c r="F32" s="336"/>
      <c r="G32" s="336">
        <v>178.47</v>
      </c>
      <c r="H32" s="336"/>
      <c r="I32" s="336"/>
      <c r="J32" s="336">
        <v>178.47</v>
      </c>
    </row>
    <row r="33" spans="1:10">
      <c r="A33" s="143" t="s">
        <v>992</v>
      </c>
      <c r="B33" s="336"/>
      <c r="C33" s="336"/>
      <c r="D33" s="336">
        <v>178.47</v>
      </c>
      <c r="E33" s="336"/>
      <c r="F33" s="336"/>
      <c r="G33" s="336">
        <v>178.47</v>
      </c>
      <c r="H33" s="336"/>
      <c r="I33" s="336"/>
      <c r="J33" s="336">
        <v>178.47</v>
      </c>
    </row>
    <row r="34" spans="1:10">
      <c r="A34" s="143" t="s">
        <v>997</v>
      </c>
      <c r="B34" s="336"/>
      <c r="C34" s="336"/>
      <c r="D34" s="336">
        <v>935.95</v>
      </c>
      <c r="E34" s="336"/>
      <c r="F34" s="336"/>
      <c r="G34" s="336">
        <v>935.95</v>
      </c>
      <c r="H34" s="336"/>
      <c r="I34" s="336"/>
      <c r="J34" s="336">
        <v>935.95</v>
      </c>
    </row>
    <row r="35" spans="1:10">
      <c r="A35" s="143" t="s">
        <v>999</v>
      </c>
      <c r="B35" s="336"/>
      <c r="C35" s="336">
        <v>602.25</v>
      </c>
      <c r="D35" s="336"/>
      <c r="E35" s="336">
        <v>602.25</v>
      </c>
      <c r="F35" s="336"/>
      <c r="G35" s="336">
        <v>602.25</v>
      </c>
      <c r="H35" s="336"/>
      <c r="I35" s="336">
        <v>602.25</v>
      </c>
      <c r="J35" s="336"/>
    </row>
    <row r="36" spans="1:10">
      <c r="A36" s="143" t="s">
        <v>1005</v>
      </c>
      <c r="B36" s="336"/>
      <c r="C36" s="336">
        <v>4860</v>
      </c>
      <c r="D36" s="336">
        <v>4860</v>
      </c>
      <c r="E36" s="336">
        <v>4860</v>
      </c>
      <c r="F36" s="336">
        <v>4860</v>
      </c>
      <c r="G36" s="336">
        <v>4860</v>
      </c>
      <c r="H36" s="336">
        <v>4860</v>
      </c>
      <c r="I36" s="336">
        <v>4860</v>
      </c>
      <c r="J36" s="336">
        <v>4860</v>
      </c>
    </row>
    <row r="37" spans="1:10">
      <c r="A37" s="143" t="s">
        <v>1017</v>
      </c>
      <c r="B37" s="336">
        <v>2000</v>
      </c>
      <c r="C37" s="336">
        <v>840</v>
      </c>
      <c r="D37" s="336">
        <v>840</v>
      </c>
      <c r="E37" s="336">
        <v>840</v>
      </c>
      <c r="F37" s="336">
        <v>840</v>
      </c>
      <c r="G37" s="336">
        <v>840</v>
      </c>
      <c r="H37" s="336">
        <v>840</v>
      </c>
      <c r="I37" s="336">
        <v>840</v>
      </c>
      <c r="J37" s="336">
        <v>840</v>
      </c>
    </row>
    <row r="38" spans="1:10">
      <c r="A38" s="143" t="s">
        <v>1384</v>
      </c>
      <c r="B38" s="336"/>
      <c r="C38" s="336"/>
      <c r="D38" s="336"/>
      <c r="E38" s="336"/>
      <c r="F38" s="336"/>
      <c r="G38" s="336"/>
      <c r="H38" s="336"/>
      <c r="I38" s="336"/>
      <c r="J38" s="336"/>
    </row>
    <row r="39" spans="1:10">
      <c r="A39" s="143" t="s">
        <v>1385</v>
      </c>
      <c r="B39" s="336"/>
      <c r="C39" s="336">
        <v>4000</v>
      </c>
      <c r="D39" s="336">
        <v>4000</v>
      </c>
      <c r="E39" s="336">
        <v>4000</v>
      </c>
      <c r="F39" s="336">
        <v>4000</v>
      </c>
      <c r="G39" s="336">
        <v>4000</v>
      </c>
      <c r="H39" s="336">
        <v>4000</v>
      </c>
      <c r="I39" s="336">
        <v>4000</v>
      </c>
      <c r="J39" s="336">
        <v>4000</v>
      </c>
    </row>
    <row r="40" spans="1:10">
      <c r="B40" s="336"/>
      <c r="C40" s="336"/>
      <c r="D40" s="336"/>
      <c r="E40" s="336"/>
      <c r="F40" s="336"/>
      <c r="G40" s="336"/>
      <c r="H40" s="336"/>
      <c r="I40" s="336"/>
      <c r="J40" s="336"/>
    </row>
    <row r="41" spans="1:10" ht="17.25">
      <c r="A41" t="s">
        <v>837</v>
      </c>
      <c r="B41" s="341">
        <f t="shared" ref="B41:J41" si="0">SUM(B3:B40)</f>
        <v>98635.45</v>
      </c>
      <c r="C41" s="340">
        <f t="shared" si="0"/>
        <v>66746.36</v>
      </c>
      <c r="D41" s="340">
        <f t="shared" si="0"/>
        <v>92916.42</v>
      </c>
      <c r="E41" s="340">
        <f t="shared" si="0"/>
        <v>62505.15</v>
      </c>
      <c r="F41" s="340">
        <f t="shared" si="0"/>
        <v>92622.47</v>
      </c>
      <c r="G41" s="340">
        <f t="shared" si="0"/>
        <v>66290.31</v>
      </c>
      <c r="H41" s="340">
        <f t="shared" si="0"/>
        <v>89131.260000000009</v>
      </c>
      <c r="I41" s="340">
        <f t="shared" si="0"/>
        <v>65996.36</v>
      </c>
      <c r="J41" s="340">
        <f t="shared" si="0"/>
        <v>92916.42</v>
      </c>
    </row>
    <row r="42" spans="1:10">
      <c r="C42" s="100"/>
      <c r="D42" s="100"/>
      <c r="E42" s="100"/>
      <c r="F42" s="100"/>
      <c r="G42" s="100"/>
      <c r="H42" s="100"/>
      <c r="I42" s="100"/>
      <c r="J42" s="100"/>
    </row>
    <row r="43" spans="1:10">
      <c r="C43" s="100"/>
      <c r="D43" s="100"/>
      <c r="E43" s="100"/>
      <c r="F43" s="100"/>
      <c r="G43" s="100"/>
      <c r="H43" s="100"/>
      <c r="I43" s="100"/>
      <c r="J43" s="100"/>
    </row>
    <row r="44" spans="1:10">
      <c r="C44" s="100"/>
      <c r="D44" s="100"/>
      <c r="E44" s="100"/>
      <c r="F44" s="100"/>
      <c r="G44" s="100"/>
      <c r="H44" s="100"/>
      <c r="I44" s="100"/>
      <c r="J44" s="100"/>
    </row>
    <row r="45" spans="1:10">
      <c r="C45" s="100"/>
      <c r="D45" s="100"/>
      <c r="E45" s="100"/>
      <c r="F45" s="101"/>
      <c r="G45" s="100"/>
      <c r="H45" s="100"/>
      <c r="I45" s="100"/>
      <c r="J45" s="101"/>
    </row>
    <row r="46" spans="1:10">
      <c r="C46" s="100"/>
      <c r="D46" s="100"/>
      <c r="E46" s="100"/>
      <c r="F46" s="101"/>
      <c r="G46" s="100"/>
      <c r="H46" s="100"/>
      <c r="I46" s="100"/>
      <c r="J46" s="101"/>
    </row>
    <row r="47" spans="1:10">
      <c r="C47" s="100"/>
      <c r="D47" s="100"/>
      <c r="E47" s="100"/>
      <c r="F47" s="101"/>
      <c r="G47" s="100"/>
      <c r="H47" s="100"/>
      <c r="I47" s="100"/>
      <c r="J47" s="101"/>
    </row>
    <row r="50" spans="1:13">
      <c r="A50" s="117" t="s">
        <v>759</v>
      </c>
      <c r="B50" s="117" t="s">
        <v>760</v>
      </c>
      <c r="C50" s="117" t="s">
        <v>761</v>
      </c>
      <c r="D50" s="117" t="s">
        <v>762</v>
      </c>
      <c r="E50" s="117" t="s">
        <v>763</v>
      </c>
      <c r="F50" s="117" t="s">
        <v>764</v>
      </c>
      <c r="G50" s="118" t="s">
        <v>765</v>
      </c>
      <c r="H50" s="119" t="s">
        <v>766</v>
      </c>
      <c r="I50" s="120" t="s">
        <v>767</v>
      </c>
    </row>
    <row r="51" spans="1:13" ht="27">
      <c r="A51" s="121">
        <v>336400</v>
      </c>
      <c r="B51" s="122" t="s">
        <v>768</v>
      </c>
      <c r="C51" s="122" t="s">
        <v>769</v>
      </c>
      <c r="D51" s="123" t="s">
        <v>770</v>
      </c>
      <c r="E51" s="124"/>
      <c r="F51" s="125" t="s">
        <v>771</v>
      </c>
      <c r="G51" s="126">
        <v>3141.36</v>
      </c>
      <c r="H51" s="127">
        <v>40380</v>
      </c>
      <c r="I51" s="127">
        <v>41111</v>
      </c>
    </row>
    <row r="52" spans="1:13">
      <c r="A52" s="121">
        <v>335110</v>
      </c>
      <c r="B52" s="122" t="s">
        <v>772</v>
      </c>
      <c r="C52" s="122" t="s">
        <v>773</v>
      </c>
      <c r="D52" s="121"/>
      <c r="E52" s="121"/>
      <c r="F52" s="125" t="s">
        <v>771</v>
      </c>
      <c r="G52" s="141">
        <v>135</v>
      </c>
      <c r="H52" s="127">
        <v>40513</v>
      </c>
      <c r="I52" s="127">
        <v>41244</v>
      </c>
      <c r="J52" t="s">
        <v>822</v>
      </c>
    </row>
    <row r="53" spans="1:13">
      <c r="A53" s="128">
        <v>335100</v>
      </c>
      <c r="B53" s="122" t="s">
        <v>774</v>
      </c>
      <c r="C53" s="122" t="s">
        <v>775</v>
      </c>
      <c r="D53" s="121"/>
      <c r="E53" s="129"/>
      <c r="F53" s="122" t="s">
        <v>776</v>
      </c>
      <c r="G53" s="130">
        <v>2492.27</v>
      </c>
      <c r="H53" s="131">
        <v>40569</v>
      </c>
      <c r="I53" s="127">
        <v>41640</v>
      </c>
    </row>
    <row r="54" spans="1:13">
      <c r="A54" s="128" t="s">
        <v>777</v>
      </c>
      <c r="B54" s="122" t="s">
        <v>778</v>
      </c>
      <c r="C54" s="122" t="s">
        <v>779</v>
      </c>
      <c r="D54" s="121"/>
      <c r="E54" s="121"/>
      <c r="F54" s="122" t="s">
        <v>776</v>
      </c>
      <c r="G54" s="130">
        <v>168.71</v>
      </c>
      <c r="H54" s="131">
        <v>40521</v>
      </c>
      <c r="I54" s="127">
        <v>41609</v>
      </c>
    </row>
    <row r="55" spans="1:13">
      <c r="A55" s="121">
        <v>336400</v>
      </c>
      <c r="B55" s="122" t="s">
        <v>780</v>
      </c>
      <c r="C55" s="122" t="s">
        <v>781</v>
      </c>
      <c r="D55" s="121"/>
      <c r="E55" s="121"/>
      <c r="F55" s="122" t="s">
        <v>776</v>
      </c>
      <c r="G55" s="141">
        <v>11070.12</v>
      </c>
      <c r="H55" s="132" t="s">
        <v>782</v>
      </c>
      <c r="I55" s="132" t="s">
        <v>783</v>
      </c>
      <c r="J55" t="s">
        <v>823</v>
      </c>
    </row>
    <row r="56" spans="1:13">
      <c r="A56" s="121">
        <v>335110</v>
      </c>
      <c r="B56" s="122" t="s">
        <v>784</v>
      </c>
      <c r="C56" s="122" t="s">
        <v>785</v>
      </c>
      <c r="D56" s="121">
        <v>270</v>
      </c>
      <c r="E56" s="121"/>
      <c r="F56" s="122" t="s">
        <v>776</v>
      </c>
      <c r="G56" s="126">
        <v>1822.5</v>
      </c>
      <c r="H56" s="132" t="s">
        <v>786</v>
      </c>
      <c r="I56" s="132" t="s">
        <v>787</v>
      </c>
    </row>
    <row r="57" spans="1:13">
      <c r="A57" s="121">
        <v>335110</v>
      </c>
      <c r="B57" s="122" t="s">
        <v>788</v>
      </c>
      <c r="C57" s="122" t="s">
        <v>785</v>
      </c>
      <c r="D57" s="121">
        <v>500</v>
      </c>
      <c r="E57" s="121"/>
      <c r="F57" s="122" t="s">
        <v>776</v>
      </c>
      <c r="G57" s="126">
        <v>1500</v>
      </c>
      <c r="H57" s="132" t="s">
        <v>786</v>
      </c>
      <c r="I57" s="132" t="s">
        <v>787</v>
      </c>
      <c r="M57" s="352"/>
    </row>
    <row r="58" spans="1:13">
      <c r="A58" s="16">
        <v>335111</v>
      </c>
      <c r="B58" s="145" t="s">
        <v>1017</v>
      </c>
      <c r="C58" s="145" t="s">
        <v>1018</v>
      </c>
      <c r="D58" t="s">
        <v>1019</v>
      </c>
      <c r="F58" s="145" t="s">
        <v>789</v>
      </c>
      <c r="G58" s="99">
        <v>849</v>
      </c>
      <c r="M58" s="342"/>
    </row>
    <row r="59" spans="1:13">
      <c r="A59" s="18">
        <v>335110</v>
      </c>
      <c r="B59" s="135" t="s">
        <v>791</v>
      </c>
      <c r="C59" s="135" t="s">
        <v>792</v>
      </c>
      <c r="D59" s="136"/>
      <c r="E59" s="121"/>
      <c r="F59" s="134" t="s">
        <v>789</v>
      </c>
      <c r="G59" s="137">
        <v>1792.59</v>
      </c>
      <c r="H59" s="138">
        <v>40436</v>
      </c>
      <c r="I59" s="139" t="s">
        <v>790</v>
      </c>
      <c r="M59" s="352"/>
    </row>
    <row r="60" spans="1:13">
      <c r="A60" s="121">
        <v>336400</v>
      </c>
      <c r="B60" s="122" t="s">
        <v>793</v>
      </c>
      <c r="C60" s="122" t="s">
        <v>793</v>
      </c>
      <c r="D60" s="133"/>
      <c r="E60" s="121"/>
      <c r="F60" s="134" t="s">
        <v>789</v>
      </c>
      <c r="G60" s="126">
        <v>500</v>
      </c>
      <c r="H60" s="127">
        <v>41330</v>
      </c>
      <c r="I60" s="132" t="s">
        <v>821</v>
      </c>
      <c r="M60" s="352"/>
    </row>
    <row r="61" spans="1:13">
      <c r="A61" s="121">
        <v>336400</v>
      </c>
      <c r="B61" s="122" t="s">
        <v>794</v>
      </c>
      <c r="C61" s="122" t="s">
        <v>795</v>
      </c>
      <c r="D61" s="133"/>
      <c r="E61" s="121"/>
      <c r="F61" s="134" t="s">
        <v>789</v>
      </c>
      <c r="G61" s="126">
        <v>950</v>
      </c>
      <c r="H61" s="127">
        <v>40556</v>
      </c>
      <c r="I61" s="132" t="s">
        <v>796</v>
      </c>
    </row>
    <row r="62" spans="1:13">
      <c r="A62" s="121">
        <v>335110</v>
      </c>
      <c r="B62" s="122" t="s">
        <v>797</v>
      </c>
      <c r="C62" s="122" t="s">
        <v>798</v>
      </c>
      <c r="D62" s="133"/>
      <c r="E62" s="121"/>
      <c r="F62" s="134" t="s">
        <v>789</v>
      </c>
      <c r="G62" s="141">
        <v>5000</v>
      </c>
      <c r="H62" s="127">
        <v>40562</v>
      </c>
      <c r="I62" s="132" t="s">
        <v>796</v>
      </c>
      <c r="J62" t="s">
        <v>822</v>
      </c>
    </row>
    <row r="63" spans="1:13">
      <c r="A63" s="121">
        <v>335100</v>
      </c>
      <c r="B63" s="122" t="s">
        <v>799</v>
      </c>
      <c r="C63" s="122" t="s">
        <v>800</v>
      </c>
      <c r="D63" s="133"/>
      <c r="E63" s="121"/>
      <c r="F63" s="134" t="s">
        <v>789</v>
      </c>
      <c r="G63" s="126">
        <v>2375</v>
      </c>
      <c r="H63" s="127">
        <v>40534</v>
      </c>
      <c r="I63" s="132" t="s">
        <v>801</v>
      </c>
    </row>
    <row r="64" spans="1:13">
      <c r="A64" s="121">
        <v>335110</v>
      </c>
      <c r="B64" s="122" t="s">
        <v>802</v>
      </c>
      <c r="C64" s="122" t="s">
        <v>803</v>
      </c>
      <c r="D64" s="133"/>
      <c r="E64" s="121"/>
      <c r="F64" s="134" t="s">
        <v>789</v>
      </c>
      <c r="G64" s="126">
        <v>4654</v>
      </c>
      <c r="H64" s="127">
        <v>40528</v>
      </c>
      <c r="I64" s="132" t="s">
        <v>801</v>
      </c>
    </row>
    <row r="65" spans="1:10">
      <c r="A65" s="121">
        <v>335111</v>
      </c>
      <c r="B65" s="122" t="s">
        <v>804</v>
      </c>
      <c r="C65" s="122" t="s">
        <v>805</v>
      </c>
      <c r="D65" s="133"/>
      <c r="E65" s="121" t="s">
        <v>830</v>
      </c>
      <c r="F65" s="134" t="s">
        <v>789</v>
      </c>
      <c r="G65" s="126">
        <v>99.5</v>
      </c>
      <c r="H65" s="127">
        <v>40421</v>
      </c>
      <c r="I65" s="132" t="s">
        <v>806</v>
      </c>
    </row>
    <row r="66" spans="1:10">
      <c r="A66" s="121">
        <v>335110</v>
      </c>
      <c r="B66" s="122" t="s">
        <v>807</v>
      </c>
      <c r="C66" s="122" t="s">
        <v>808</v>
      </c>
      <c r="D66" s="133"/>
      <c r="E66" s="121"/>
      <c r="F66" s="134" t="s">
        <v>789</v>
      </c>
      <c r="G66" s="126">
        <v>1260</v>
      </c>
      <c r="H66" s="127">
        <v>41227</v>
      </c>
      <c r="I66" s="132" t="s">
        <v>841</v>
      </c>
    </row>
    <row r="67" spans="1:10">
      <c r="A67" s="121">
        <v>336400</v>
      </c>
      <c r="B67" s="122" t="s">
        <v>810</v>
      </c>
      <c r="C67" s="122" t="s">
        <v>811</v>
      </c>
      <c r="D67" s="133"/>
      <c r="E67" s="121"/>
      <c r="F67" s="134" t="s">
        <v>789</v>
      </c>
      <c r="G67" s="126">
        <v>274</v>
      </c>
      <c r="H67" s="127">
        <v>41179</v>
      </c>
      <c r="I67" s="132" t="s">
        <v>998</v>
      </c>
    </row>
    <row r="68" spans="1:10">
      <c r="A68" s="121">
        <v>335110</v>
      </c>
      <c r="B68" s="122" t="s">
        <v>812</v>
      </c>
      <c r="C68" s="122" t="s">
        <v>812</v>
      </c>
      <c r="D68" s="133">
        <v>4</v>
      </c>
      <c r="E68" s="122" t="s">
        <v>813</v>
      </c>
      <c r="F68" s="134" t="s">
        <v>789</v>
      </c>
      <c r="G68" s="126">
        <v>2580</v>
      </c>
      <c r="H68" s="132" t="s">
        <v>814</v>
      </c>
      <c r="I68" s="132" t="s">
        <v>801</v>
      </c>
    </row>
    <row r="69" spans="1:10">
      <c r="A69" s="121">
        <v>335110</v>
      </c>
      <c r="B69" s="122" t="s">
        <v>815</v>
      </c>
      <c r="C69" s="122" t="s">
        <v>816</v>
      </c>
      <c r="D69" s="133"/>
      <c r="E69" s="121"/>
      <c r="F69" s="134" t="s">
        <v>789</v>
      </c>
      <c r="G69" s="126">
        <v>40</v>
      </c>
      <c r="H69" s="132" t="s">
        <v>817</v>
      </c>
      <c r="I69" s="132" t="s">
        <v>809</v>
      </c>
    </row>
    <row r="70" spans="1:10">
      <c r="A70" s="121">
        <v>335100</v>
      </c>
      <c r="B70" s="122" t="s">
        <v>812</v>
      </c>
      <c r="C70" s="122" t="s">
        <v>812</v>
      </c>
      <c r="D70" s="134">
        <v>2</v>
      </c>
      <c r="E70" s="122" t="s">
        <v>818</v>
      </c>
      <c r="F70" s="134" t="s">
        <v>789</v>
      </c>
      <c r="G70" s="141">
        <v>2700</v>
      </c>
      <c r="H70" s="132" t="s">
        <v>819</v>
      </c>
      <c r="I70" s="132" t="s">
        <v>820</v>
      </c>
      <c r="J70" t="s">
        <v>844</v>
      </c>
    </row>
    <row r="71" spans="1:10">
      <c r="A71" s="121">
        <v>336400</v>
      </c>
      <c r="B71" s="122" t="s">
        <v>967</v>
      </c>
      <c r="C71" s="122" t="s">
        <v>968</v>
      </c>
      <c r="D71" s="134"/>
      <c r="E71" s="122"/>
      <c r="F71" s="134" t="s">
        <v>789</v>
      </c>
      <c r="G71" s="141">
        <v>2400</v>
      </c>
      <c r="H71" s="132" t="s">
        <v>969</v>
      </c>
      <c r="I71" s="132" t="s">
        <v>970</v>
      </c>
    </row>
    <row r="72" spans="1:10">
      <c r="A72" s="121">
        <v>336400</v>
      </c>
      <c r="B72" s="122" t="s">
        <v>971</v>
      </c>
      <c r="C72" s="122" t="s">
        <v>972</v>
      </c>
      <c r="D72" s="134"/>
      <c r="E72" s="122"/>
      <c r="F72" s="134" t="s">
        <v>789</v>
      </c>
      <c r="G72" s="141">
        <v>1800</v>
      </c>
      <c r="H72" s="132" t="s">
        <v>969</v>
      </c>
      <c r="I72" s="132" t="s">
        <v>970</v>
      </c>
    </row>
    <row r="73" spans="1:10">
      <c r="A73" s="121">
        <v>336400</v>
      </c>
      <c r="B73" s="122" t="s">
        <v>974</v>
      </c>
      <c r="C73" s="122" t="s">
        <v>975</v>
      </c>
      <c r="D73" s="134">
        <v>50</v>
      </c>
      <c r="E73" s="122"/>
      <c r="F73" s="134" t="s">
        <v>789</v>
      </c>
      <c r="G73" s="140">
        <v>780</v>
      </c>
      <c r="H73" s="132" t="s">
        <v>969</v>
      </c>
      <c r="I73" s="132" t="s">
        <v>970</v>
      </c>
    </row>
    <row r="74" spans="1:10">
      <c r="A74" s="121">
        <v>336400</v>
      </c>
      <c r="B74" s="122" t="s">
        <v>976</v>
      </c>
      <c r="C74" s="122" t="s">
        <v>977</v>
      </c>
      <c r="D74" s="134"/>
      <c r="E74" s="122"/>
      <c r="F74" s="134" t="s">
        <v>789</v>
      </c>
      <c r="G74" s="141">
        <v>720</v>
      </c>
      <c r="H74" s="132"/>
      <c r="I74" s="132"/>
    </row>
    <row r="75" spans="1:10">
      <c r="A75" s="121">
        <v>336400</v>
      </c>
      <c r="B75" s="122" t="s">
        <v>979</v>
      </c>
      <c r="C75" s="122" t="s">
        <v>981</v>
      </c>
      <c r="D75" s="134" t="s">
        <v>1026</v>
      </c>
      <c r="E75" s="122"/>
      <c r="F75" s="134" t="s">
        <v>1023</v>
      </c>
      <c r="G75" s="140">
        <v>3975</v>
      </c>
      <c r="H75" s="132" t="s">
        <v>1029</v>
      </c>
      <c r="I75" s="132" t="s">
        <v>1027</v>
      </c>
    </row>
    <row r="76" spans="1:10">
      <c r="A76" s="121">
        <v>336400</v>
      </c>
      <c r="B76" s="122" t="s">
        <v>980</v>
      </c>
      <c r="C76" s="122" t="s">
        <v>981</v>
      </c>
      <c r="D76" s="134" t="s">
        <v>1026</v>
      </c>
      <c r="E76" s="122"/>
      <c r="F76" s="134" t="s">
        <v>1023</v>
      </c>
      <c r="G76" s="140">
        <v>1225</v>
      </c>
      <c r="H76" s="132" t="s">
        <v>1028</v>
      </c>
      <c r="I76" s="132" t="s">
        <v>1027</v>
      </c>
    </row>
    <row r="77" spans="1:10">
      <c r="A77" s="121">
        <v>336400</v>
      </c>
      <c r="B77" s="122" t="s">
        <v>1021</v>
      </c>
      <c r="C77" s="122" t="s">
        <v>981</v>
      </c>
      <c r="D77" s="134" t="s">
        <v>1022</v>
      </c>
      <c r="E77" s="122"/>
      <c r="F77" s="134" t="s">
        <v>1023</v>
      </c>
      <c r="G77" s="140">
        <v>12650</v>
      </c>
      <c r="H77" s="132" t="s">
        <v>1028</v>
      </c>
      <c r="I77" s="132" t="s">
        <v>1027</v>
      </c>
    </row>
    <row r="78" spans="1:10">
      <c r="A78" s="121">
        <v>336400</v>
      </c>
      <c r="B78" s="122" t="s">
        <v>1024</v>
      </c>
      <c r="C78" s="122" t="s">
        <v>981</v>
      </c>
      <c r="D78" s="134" t="s">
        <v>1025</v>
      </c>
      <c r="E78" s="122"/>
      <c r="F78" s="134" t="s">
        <v>1023</v>
      </c>
      <c r="G78" s="140">
        <v>6237</v>
      </c>
      <c r="H78" s="132" t="s">
        <v>1028</v>
      </c>
      <c r="I78" s="132" t="s">
        <v>1027</v>
      </c>
    </row>
    <row r="79" spans="1:10">
      <c r="A79" s="121">
        <v>335110</v>
      </c>
      <c r="B79" s="122" t="s">
        <v>985</v>
      </c>
      <c r="C79" s="122"/>
      <c r="D79" s="134"/>
      <c r="E79" s="122"/>
      <c r="F79" s="134" t="s">
        <v>789</v>
      </c>
      <c r="G79" s="140">
        <v>750</v>
      </c>
      <c r="H79" s="132" t="s">
        <v>1028</v>
      </c>
      <c r="I79" s="132" t="s">
        <v>1027</v>
      </c>
    </row>
    <row r="80" spans="1:10">
      <c r="A80" s="121">
        <v>335110</v>
      </c>
      <c r="B80" s="122" t="s">
        <v>987</v>
      </c>
      <c r="C80" s="122" t="s">
        <v>779</v>
      </c>
      <c r="D80" s="134"/>
      <c r="E80" s="122"/>
      <c r="F80" s="134" t="s">
        <v>988</v>
      </c>
      <c r="G80" s="140">
        <v>178.47</v>
      </c>
      <c r="H80" s="132" t="s">
        <v>989</v>
      </c>
      <c r="I80" s="132" t="s">
        <v>990</v>
      </c>
    </row>
    <row r="81" spans="1:9">
      <c r="A81" s="121">
        <v>335110</v>
      </c>
      <c r="B81" s="122" t="s">
        <v>993</v>
      </c>
      <c r="C81" s="122" t="s">
        <v>779</v>
      </c>
      <c r="D81" s="134"/>
      <c r="E81" s="122"/>
      <c r="F81" s="134" t="s">
        <v>988</v>
      </c>
      <c r="G81" s="140">
        <v>178.47</v>
      </c>
      <c r="H81" s="132" t="s">
        <v>989</v>
      </c>
      <c r="I81" s="132" t="s">
        <v>990</v>
      </c>
    </row>
    <row r="82" spans="1:9">
      <c r="A82" s="121">
        <v>335110</v>
      </c>
      <c r="B82" s="122" t="s">
        <v>994</v>
      </c>
      <c r="C82" s="122" t="s">
        <v>779</v>
      </c>
      <c r="D82" s="134"/>
      <c r="E82" s="122"/>
      <c r="F82" s="134" t="s">
        <v>988</v>
      </c>
      <c r="G82" s="140">
        <v>935.95</v>
      </c>
      <c r="H82" s="132" t="s">
        <v>995</v>
      </c>
      <c r="I82" s="132" t="s">
        <v>996</v>
      </c>
    </row>
    <row r="83" spans="1:9">
      <c r="A83" s="121">
        <v>335110</v>
      </c>
      <c r="B83" s="122" t="s">
        <v>1000</v>
      </c>
      <c r="C83" s="122" t="s">
        <v>1001</v>
      </c>
      <c r="D83" s="134"/>
      <c r="E83" s="122"/>
      <c r="F83" s="134" t="s">
        <v>1002</v>
      </c>
      <c r="G83" s="140">
        <v>602.25</v>
      </c>
      <c r="H83" s="132" t="s">
        <v>1003</v>
      </c>
      <c r="I83" s="132" t="s">
        <v>1004</v>
      </c>
    </row>
    <row r="84" spans="1:9">
      <c r="A84" s="121">
        <v>335110</v>
      </c>
      <c r="B84" s="122" t="s">
        <v>1006</v>
      </c>
      <c r="C84" s="122" t="s">
        <v>1007</v>
      </c>
      <c r="D84" s="134">
        <v>540</v>
      </c>
      <c r="E84" s="122"/>
      <c r="F84" s="134" t="s">
        <v>789</v>
      </c>
      <c r="G84" s="140">
        <v>4860</v>
      </c>
      <c r="H84" s="132" t="s">
        <v>1008</v>
      </c>
      <c r="I84" s="132" t="s">
        <v>1009</v>
      </c>
    </row>
    <row r="85" spans="1:9">
      <c r="A85" s="121">
        <v>335110</v>
      </c>
      <c r="B85" s="122" t="s">
        <v>1010</v>
      </c>
      <c r="C85" s="122" t="s">
        <v>1011</v>
      </c>
      <c r="D85" s="134"/>
      <c r="E85" s="122"/>
      <c r="F85" s="134" t="s">
        <v>789</v>
      </c>
      <c r="G85" s="140">
        <v>80</v>
      </c>
      <c r="H85" s="132" t="s">
        <v>1012</v>
      </c>
      <c r="I85" s="132" t="s">
        <v>1013</v>
      </c>
    </row>
    <row r="86" spans="1:9">
      <c r="A86" s="121"/>
      <c r="B86" s="122"/>
      <c r="C86" s="122"/>
      <c r="D86" s="134"/>
      <c r="E86" s="122"/>
      <c r="F86" s="134"/>
      <c r="G86" s="141"/>
      <c r="H86" s="132"/>
      <c r="I86" s="132"/>
    </row>
    <row r="87" spans="1:9" ht="15" customHeight="1">
      <c r="A87" s="121"/>
      <c r="B87" s="122"/>
      <c r="C87" s="122"/>
      <c r="D87" s="134"/>
      <c r="E87" s="122"/>
      <c r="F87" s="134"/>
      <c r="G87" s="141"/>
      <c r="H87" s="132"/>
      <c r="I87" s="132"/>
    </row>
    <row r="88" spans="1:9">
      <c r="A88" s="121" t="s">
        <v>824</v>
      </c>
      <c r="B88" s="122" t="s">
        <v>825</v>
      </c>
      <c r="C88" s="122" t="s">
        <v>826</v>
      </c>
      <c r="D88" s="121"/>
      <c r="E88" s="121"/>
      <c r="F88" s="122" t="s">
        <v>827</v>
      </c>
      <c r="G88" s="142">
        <v>995</v>
      </c>
      <c r="H88" s="132" t="s">
        <v>828</v>
      </c>
      <c r="I88" s="132" t="s">
        <v>829</v>
      </c>
    </row>
    <row r="89" spans="1:9">
      <c r="B89" t="s">
        <v>353</v>
      </c>
      <c r="C89" s="145" t="s">
        <v>845</v>
      </c>
      <c r="G89" s="100">
        <f>$C$4</f>
        <v>19545.810000000001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7"/>
  <sheetViews>
    <sheetView workbookViewId="0">
      <selection activeCell="Q74" sqref="Q74"/>
    </sheetView>
  </sheetViews>
  <sheetFormatPr defaultRowHeight="16.5"/>
  <cols>
    <col min="1" max="1" width="48.625" bestFit="1" customWidth="1"/>
    <col min="2" max="2" width="12.5" customWidth="1"/>
    <col min="3" max="3" width="11.875" customWidth="1"/>
    <col min="4" max="10" width="12.125" bestFit="1" customWidth="1"/>
    <col min="11" max="11" width="11.125" bestFit="1" customWidth="1"/>
    <col min="12" max="14" width="12.125" bestFit="1" customWidth="1"/>
    <col min="17" max="17" width="10.125" bestFit="1" customWidth="1"/>
  </cols>
  <sheetData>
    <row r="1" spans="1:14">
      <c r="A1" t="s">
        <v>356</v>
      </c>
      <c r="E1" s="35"/>
    </row>
    <row r="2" spans="1:14">
      <c r="B2">
        <v>2010</v>
      </c>
      <c r="C2">
        <v>2011</v>
      </c>
      <c r="D2">
        <v>2012</v>
      </c>
      <c r="E2">
        <v>2013</v>
      </c>
      <c r="F2">
        <v>2014</v>
      </c>
      <c r="G2">
        <v>2015</v>
      </c>
      <c r="H2">
        <v>2016</v>
      </c>
      <c r="I2">
        <v>2017</v>
      </c>
      <c r="J2">
        <v>2018</v>
      </c>
      <c r="K2">
        <v>2019</v>
      </c>
      <c r="L2">
        <v>2020</v>
      </c>
      <c r="M2">
        <v>2021</v>
      </c>
      <c r="N2">
        <v>2022</v>
      </c>
    </row>
    <row r="3" spans="1:14">
      <c r="A3" s="147" t="s">
        <v>357</v>
      </c>
      <c r="B3" s="147"/>
      <c r="C3" s="147"/>
      <c r="D3" s="147"/>
      <c r="E3" s="147">
        <v>13</v>
      </c>
      <c r="F3" s="147"/>
      <c r="G3" s="147"/>
      <c r="H3" s="148"/>
      <c r="I3" s="148">
        <v>13</v>
      </c>
      <c r="J3" s="148"/>
      <c r="K3" s="148"/>
      <c r="L3" s="148"/>
      <c r="M3" s="148">
        <v>13</v>
      </c>
      <c r="N3" s="148"/>
    </row>
    <row r="4" spans="1:14">
      <c r="A4" s="147" t="s">
        <v>358</v>
      </c>
      <c r="B4" s="147"/>
      <c r="C4" s="147"/>
      <c r="D4" s="147"/>
      <c r="E4" s="147">
        <v>3</v>
      </c>
      <c r="F4" s="147"/>
      <c r="G4" s="147"/>
      <c r="H4" s="148"/>
      <c r="I4" s="148">
        <v>3</v>
      </c>
      <c r="J4" s="148"/>
      <c r="K4" s="148"/>
      <c r="L4" s="148"/>
      <c r="M4" s="148">
        <v>3</v>
      </c>
      <c r="N4" s="148"/>
    </row>
    <row r="5" spans="1:14">
      <c r="A5" s="147" t="s">
        <v>359</v>
      </c>
      <c r="B5" s="147"/>
      <c r="C5" s="147"/>
      <c r="D5" s="147"/>
      <c r="E5" s="147">
        <v>4</v>
      </c>
      <c r="F5" s="147"/>
      <c r="G5" s="147"/>
      <c r="H5" s="148"/>
      <c r="I5" s="148">
        <v>4</v>
      </c>
      <c r="J5" s="148"/>
      <c r="K5" s="148"/>
      <c r="L5" s="148"/>
      <c r="M5" s="148">
        <v>4</v>
      </c>
      <c r="N5" s="148"/>
    </row>
    <row r="6" spans="1:14">
      <c r="A6" s="147" t="s">
        <v>360</v>
      </c>
      <c r="B6" s="147"/>
      <c r="C6" s="147"/>
      <c r="D6" s="147"/>
      <c r="E6" s="147">
        <v>1</v>
      </c>
      <c r="F6" s="147"/>
      <c r="G6" s="147"/>
      <c r="H6" s="148"/>
      <c r="I6" s="148">
        <v>1</v>
      </c>
      <c r="J6" s="148"/>
      <c r="K6" s="148"/>
      <c r="L6" s="148"/>
      <c r="M6" s="148">
        <v>1</v>
      </c>
      <c r="N6" s="148"/>
    </row>
    <row r="7" spans="1:14">
      <c r="A7" s="147" t="s">
        <v>419</v>
      </c>
      <c r="B7" s="147"/>
      <c r="C7" s="147"/>
      <c r="D7" s="147"/>
      <c r="E7" s="147">
        <v>1</v>
      </c>
      <c r="F7" s="147"/>
      <c r="G7" s="147"/>
      <c r="H7" s="148"/>
      <c r="I7" s="148">
        <v>1</v>
      </c>
      <c r="J7" s="148"/>
      <c r="K7" s="148"/>
      <c r="L7" s="148"/>
      <c r="M7" s="148">
        <v>1</v>
      </c>
      <c r="N7" s="148"/>
    </row>
    <row r="8" spans="1:14">
      <c r="A8" s="147" t="s">
        <v>361</v>
      </c>
      <c r="B8" s="147"/>
      <c r="C8" s="147"/>
      <c r="D8" s="147">
        <v>13</v>
      </c>
      <c r="E8" s="147"/>
      <c r="F8" s="147"/>
      <c r="G8" s="147">
        <v>13</v>
      </c>
      <c r="H8" s="148"/>
      <c r="I8" s="148"/>
      <c r="J8" s="148">
        <v>13</v>
      </c>
      <c r="K8" s="148"/>
      <c r="L8" s="148"/>
      <c r="M8" s="148">
        <v>13</v>
      </c>
      <c r="N8" s="148"/>
    </row>
    <row r="9" spans="1:14">
      <c r="A9" s="147" t="s">
        <v>362</v>
      </c>
      <c r="B9" s="147"/>
      <c r="C9" s="147"/>
      <c r="D9" s="147">
        <v>13</v>
      </c>
      <c r="E9" s="147"/>
      <c r="F9" s="147"/>
      <c r="G9" s="147">
        <v>13</v>
      </c>
      <c r="H9" s="148"/>
      <c r="I9" s="148"/>
      <c r="J9" s="148">
        <v>13</v>
      </c>
      <c r="K9" s="148"/>
      <c r="L9" s="148"/>
      <c r="M9" s="148">
        <v>13</v>
      </c>
      <c r="N9" s="148"/>
    </row>
    <row r="10" spans="1:14">
      <c r="A10" s="147" t="s">
        <v>363</v>
      </c>
      <c r="B10" s="147"/>
      <c r="C10" s="147"/>
      <c r="D10" s="147"/>
      <c r="E10" s="147">
        <v>21</v>
      </c>
      <c r="F10" s="147"/>
      <c r="G10" s="147"/>
      <c r="H10" s="148">
        <v>21</v>
      </c>
      <c r="I10" s="148"/>
      <c r="J10" s="148"/>
      <c r="K10" s="148">
        <v>21</v>
      </c>
      <c r="L10" s="148"/>
      <c r="M10" s="148"/>
      <c r="N10" s="148">
        <v>21</v>
      </c>
    </row>
    <row r="11" spans="1:14">
      <c r="A11" s="147" t="s">
        <v>364</v>
      </c>
      <c r="B11" s="147"/>
      <c r="C11" s="147">
        <v>21</v>
      </c>
      <c r="D11" s="147"/>
      <c r="E11" s="147"/>
      <c r="F11" s="147"/>
      <c r="G11" s="147">
        <v>21</v>
      </c>
      <c r="H11" s="148"/>
      <c r="I11" s="148"/>
      <c r="J11" s="148">
        <v>21</v>
      </c>
      <c r="K11" s="148"/>
      <c r="L11" s="148"/>
      <c r="M11" s="148">
        <v>21</v>
      </c>
      <c r="N11" s="148"/>
    </row>
    <row r="12" spans="1:14">
      <c r="A12" s="147" t="s">
        <v>365</v>
      </c>
      <c r="B12" s="147">
        <v>21</v>
      </c>
      <c r="C12" s="147"/>
      <c r="D12" s="147"/>
      <c r="E12" s="147"/>
      <c r="F12" s="147">
        <v>21</v>
      </c>
      <c r="G12" s="147"/>
      <c r="H12" s="148"/>
      <c r="I12" s="148"/>
      <c r="J12" s="148"/>
      <c r="K12" s="148"/>
      <c r="L12" s="148"/>
      <c r="M12" s="148"/>
      <c r="N12" s="148"/>
    </row>
    <row r="13" spans="1:14">
      <c r="A13" s="147" t="s">
        <v>366</v>
      </c>
      <c r="B13" s="147"/>
      <c r="C13" s="147"/>
      <c r="D13" s="147">
        <v>24</v>
      </c>
      <c r="E13" s="147"/>
      <c r="F13" s="147"/>
      <c r="G13" s="147"/>
      <c r="H13" s="148">
        <v>24</v>
      </c>
      <c r="I13" s="148"/>
      <c r="J13" s="148"/>
      <c r="K13" s="148"/>
      <c r="L13" s="148">
        <v>24</v>
      </c>
      <c r="M13" s="148"/>
      <c r="N13" s="148"/>
    </row>
    <row r="14" spans="1:14">
      <c r="A14" s="147" t="s">
        <v>367</v>
      </c>
      <c r="B14" s="147"/>
      <c r="C14" s="147"/>
      <c r="D14" s="147"/>
      <c r="E14" s="147">
        <v>24</v>
      </c>
      <c r="F14" s="147"/>
      <c r="G14" s="147"/>
      <c r="H14" s="148"/>
      <c r="I14" s="148">
        <v>24</v>
      </c>
      <c r="J14" s="148"/>
      <c r="K14" s="148"/>
      <c r="L14" s="148"/>
      <c r="M14" s="148">
        <v>24</v>
      </c>
      <c r="N14" s="148"/>
    </row>
    <row r="15" spans="1:14">
      <c r="A15" s="147" t="s">
        <v>368</v>
      </c>
      <c r="B15" s="147"/>
      <c r="C15" s="147"/>
      <c r="D15" s="147"/>
      <c r="E15" s="147"/>
      <c r="F15" s="147"/>
      <c r="G15" s="147"/>
      <c r="H15" s="148"/>
      <c r="I15" s="148"/>
      <c r="J15" s="148"/>
      <c r="K15" s="148"/>
      <c r="L15" s="148"/>
      <c r="M15" s="148"/>
      <c r="N15" s="148"/>
    </row>
    <row r="16" spans="1:14">
      <c r="A16" s="147" t="s">
        <v>369</v>
      </c>
      <c r="B16" s="147"/>
      <c r="C16" s="147">
        <v>21</v>
      </c>
      <c r="D16" s="147"/>
      <c r="E16" s="147"/>
      <c r="F16" s="147">
        <v>21</v>
      </c>
      <c r="G16" s="147"/>
      <c r="H16" s="148"/>
      <c r="I16" s="148">
        <v>21</v>
      </c>
      <c r="J16" s="148"/>
      <c r="K16" s="148"/>
      <c r="L16" s="148">
        <v>21</v>
      </c>
      <c r="M16" s="148"/>
      <c r="N16" s="148"/>
    </row>
    <row r="17" spans="1:14">
      <c r="A17" s="147" t="s">
        <v>370</v>
      </c>
      <c r="B17" s="147"/>
      <c r="C17" s="147"/>
      <c r="D17" s="147"/>
      <c r="E17" s="147">
        <v>1</v>
      </c>
      <c r="F17" s="147"/>
      <c r="G17" s="147"/>
      <c r="H17" s="148"/>
      <c r="I17" s="148"/>
      <c r="J17" s="148">
        <v>1</v>
      </c>
      <c r="K17" s="148"/>
      <c r="L17" s="148"/>
      <c r="M17" s="148"/>
      <c r="N17" s="148"/>
    </row>
    <row r="18" spans="1:14">
      <c r="A18" s="147" t="s">
        <v>371</v>
      </c>
      <c r="B18" s="147"/>
      <c r="C18" s="147">
        <v>21</v>
      </c>
      <c r="D18" s="147"/>
      <c r="E18" s="147">
        <v>1</v>
      </c>
      <c r="F18" s="147"/>
      <c r="G18" s="147"/>
      <c r="H18" s="148"/>
      <c r="I18" s="148"/>
      <c r="J18" s="148">
        <v>1</v>
      </c>
      <c r="K18" s="148"/>
      <c r="L18" s="148"/>
      <c r="M18" s="148"/>
      <c r="N18" s="148"/>
    </row>
    <row r="19" spans="1:14">
      <c r="A19" s="147" t="s">
        <v>372</v>
      </c>
      <c r="B19" s="147"/>
      <c r="C19" s="147"/>
      <c r="D19" s="147"/>
      <c r="E19" s="147">
        <v>1</v>
      </c>
      <c r="F19" s="147"/>
      <c r="G19" s="147"/>
      <c r="H19" s="148"/>
      <c r="I19" s="148"/>
      <c r="J19" s="148">
        <v>1</v>
      </c>
      <c r="K19" s="148"/>
      <c r="L19" s="148"/>
      <c r="M19" s="148"/>
      <c r="N19" s="148"/>
    </row>
    <row r="20" spans="1:14">
      <c r="A20" s="147" t="s">
        <v>373</v>
      </c>
      <c r="B20" s="147"/>
      <c r="C20" s="147"/>
      <c r="D20" s="147">
        <v>21</v>
      </c>
      <c r="E20" s="147"/>
      <c r="F20" s="147"/>
      <c r="G20" s="147">
        <v>21</v>
      </c>
      <c r="H20" s="148"/>
      <c r="I20" s="148"/>
      <c r="J20" s="148">
        <v>21</v>
      </c>
      <c r="K20" s="148"/>
      <c r="L20" s="148"/>
      <c r="M20" s="148">
        <v>21</v>
      </c>
      <c r="N20" s="148"/>
    </row>
    <row r="21" spans="1:14">
      <c r="A21" s="147" t="s">
        <v>374</v>
      </c>
      <c r="B21" s="147"/>
      <c r="C21" s="147"/>
      <c r="D21" s="147"/>
      <c r="E21" s="147">
        <v>1</v>
      </c>
      <c r="F21" s="147"/>
      <c r="G21" s="147"/>
      <c r="H21" s="148"/>
      <c r="I21" s="148"/>
      <c r="J21" s="148">
        <v>1</v>
      </c>
      <c r="K21" s="148"/>
      <c r="L21" s="148"/>
      <c r="M21" s="148"/>
      <c r="N21" s="148"/>
    </row>
    <row r="22" spans="1:14">
      <c r="A22" s="147" t="s">
        <v>375</v>
      </c>
      <c r="B22" s="147"/>
      <c r="C22" s="147"/>
      <c r="D22" s="147"/>
      <c r="E22" s="147">
        <v>1</v>
      </c>
      <c r="F22" s="147"/>
      <c r="G22" s="147"/>
      <c r="H22" s="148"/>
      <c r="I22" s="148"/>
      <c r="J22" s="148">
        <v>1</v>
      </c>
      <c r="K22" s="148"/>
      <c r="L22" s="148"/>
      <c r="M22" s="148"/>
      <c r="N22" s="148"/>
    </row>
    <row r="23" spans="1:14">
      <c r="A23" s="147" t="s">
        <v>376</v>
      </c>
      <c r="B23" s="147">
        <v>7</v>
      </c>
      <c r="C23" s="147"/>
      <c r="D23" s="147"/>
      <c r="E23" s="147"/>
      <c r="F23" s="147">
        <v>7</v>
      </c>
      <c r="G23" s="147"/>
      <c r="H23" s="148"/>
      <c r="I23" s="148"/>
      <c r="J23" s="148"/>
      <c r="K23" s="148"/>
      <c r="L23" s="148"/>
      <c r="M23" s="148"/>
      <c r="N23" s="148">
        <v>7</v>
      </c>
    </row>
    <row r="24" spans="1:14">
      <c r="A24" s="147" t="s">
        <v>377</v>
      </c>
      <c r="B24" s="147"/>
      <c r="C24" s="147"/>
      <c r="D24" s="147"/>
      <c r="E24" s="147"/>
      <c r="F24" s="147"/>
      <c r="G24" s="147"/>
      <c r="H24" s="148"/>
      <c r="I24" s="148"/>
      <c r="J24" s="148"/>
      <c r="K24" s="148"/>
      <c r="L24" s="148"/>
      <c r="M24" s="148"/>
      <c r="N24" s="148"/>
    </row>
    <row r="25" spans="1:14">
      <c r="A25" s="147" t="s">
        <v>378</v>
      </c>
      <c r="B25" s="147"/>
      <c r="C25" s="147"/>
      <c r="D25" s="147"/>
      <c r="E25" s="147"/>
      <c r="F25" s="147"/>
      <c r="G25" s="147"/>
      <c r="H25" s="148"/>
      <c r="I25" s="148"/>
      <c r="J25" s="148"/>
      <c r="K25" s="148"/>
      <c r="L25" s="148"/>
      <c r="M25" s="148"/>
      <c r="N25" s="148"/>
    </row>
    <row r="26" spans="1:14">
      <c r="A26" s="147" t="s">
        <v>379</v>
      </c>
      <c r="B26" s="147"/>
      <c r="C26" s="147"/>
      <c r="D26" s="147"/>
      <c r="E26" s="147"/>
      <c r="F26" s="147"/>
      <c r="G26" s="147"/>
      <c r="H26" s="148"/>
      <c r="I26" s="148"/>
      <c r="J26" s="148"/>
      <c r="K26" s="148"/>
      <c r="L26" s="148"/>
      <c r="M26" s="148"/>
      <c r="N26" s="148"/>
    </row>
    <row r="27" spans="1:14">
      <c r="A27" s="147" t="s">
        <v>380</v>
      </c>
      <c r="B27" s="147"/>
      <c r="C27" s="147"/>
      <c r="D27" s="147"/>
      <c r="E27" s="147">
        <v>1</v>
      </c>
      <c r="F27" s="147"/>
      <c r="G27" s="147"/>
      <c r="H27" s="148"/>
      <c r="I27" s="148"/>
      <c r="J27" s="148">
        <v>1</v>
      </c>
      <c r="K27" s="148"/>
      <c r="L27" s="148"/>
      <c r="M27" s="148"/>
      <c r="N27" s="148">
        <v>1</v>
      </c>
    </row>
    <row r="28" spans="1:14">
      <c r="A28" s="147" t="s">
        <v>381</v>
      </c>
      <c r="B28" s="147"/>
      <c r="C28" s="147">
        <v>19</v>
      </c>
      <c r="D28" s="147"/>
      <c r="E28" s="147"/>
      <c r="F28" s="147"/>
      <c r="G28" s="147">
        <v>19</v>
      </c>
      <c r="H28" s="148"/>
      <c r="I28" s="148"/>
      <c r="J28" s="148"/>
      <c r="K28" s="148">
        <v>19</v>
      </c>
      <c r="L28" s="148"/>
      <c r="M28" s="148"/>
      <c r="N28" s="148"/>
    </row>
    <row r="29" spans="1:14">
      <c r="A29" s="147" t="s">
        <v>382</v>
      </c>
      <c r="B29" s="147"/>
      <c r="C29" s="147"/>
      <c r="D29" s="147"/>
      <c r="E29" s="147">
        <v>1</v>
      </c>
      <c r="F29" s="147"/>
      <c r="G29" s="147"/>
      <c r="H29" s="147"/>
      <c r="I29" s="148"/>
      <c r="J29" s="148">
        <v>1</v>
      </c>
      <c r="K29" s="147"/>
      <c r="L29" s="148"/>
      <c r="M29" s="148"/>
      <c r="N29" s="147">
        <v>1</v>
      </c>
    </row>
    <row r="30" spans="1:14">
      <c r="A30" s="147" t="s">
        <v>383</v>
      </c>
      <c r="B30" s="147"/>
      <c r="C30" s="147"/>
      <c r="D30" s="147"/>
      <c r="E30" s="147">
        <v>1</v>
      </c>
      <c r="F30" s="147"/>
      <c r="G30" s="147"/>
      <c r="H30" s="147"/>
      <c r="I30" s="148"/>
      <c r="J30" s="148">
        <v>1</v>
      </c>
      <c r="K30" s="147"/>
      <c r="L30" s="148"/>
      <c r="M30" s="148"/>
      <c r="N30" s="147">
        <v>1</v>
      </c>
    </row>
    <row r="31" spans="1:14">
      <c r="A31" s="147" t="s">
        <v>384</v>
      </c>
      <c r="B31" s="147"/>
      <c r="C31" s="147"/>
      <c r="D31" s="147"/>
      <c r="E31" s="147"/>
      <c r="F31" s="147"/>
      <c r="G31" s="147"/>
      <c r="H31" s="147"/>
      <c r="I31" s="148"/>
      <c r="J31" s="148"/>
      <c r="K31" s="147"/>
      <c r="L31" s="148"/>
      <c r="M31" s="148"/>
      <c r="N31" s="147"/>
    </row>
    <row r="32" spans="1:14">
      <c r="A32" s="147" t="s">
        <v>385</v>
      </c>
      <c r="B32" s="147"/>
      <c r="C32" s="147"/>
      <c r="D32" s="147"/>
      <c r="E32" s="147"/>
      <c r="F32" s="147"/>
      <c r="G32" s="147"/>
      <c r="H32" s="147"/>
      <c r="I32" s="148"/>
      <c r="J32" s="148"/>
      <c r="K32" s="147"/>
      <c r="L32" s="148"/>
      <c r="M32" s="148"/>
      <c r="N32" s="147"/>
    </row>
    <row r="33" spans="1:14">
      <c r="A33" s="147" t="s">
        <v>386</v>
      </c>
      <c r="B33" s="147"/>
      <c r="C33" s="147"/>
      <c r="D33" s="147"/>
      <c r="E33" s="147">
        <v>3</v>
      </c>
      <c r="F33" s="147"/>
      <c r="G33" s="147"/>
      <c r="H33" s="147">
        <v>3</v>
      </c>
      <c r="I33" s="148"/>
      <c r="J33" s="148"/>
      <c r="K33" s="147">
        <v>3</v>
      </c>
      <c r="L33" s="148"/>
      <c r="M33" s="148"/>
      <c r="N33" s="147">
        <v>3</v>
      </c>
    </row>
    <row r="34" spans="1:14">
      <c r="A34" s="147" t="s">
        <v>387</v>
      </c>
      <c r="B34" s="147"/>
      <c r="C34" s="147"/>
      <c r="D34" s="147"/>
      <c r="E34" s="147">
        <v>6</v>
      </c>
      <c r="F34" s="147"/>
      <c r="G34" s="147"/>
      <c r="H34" s="147">
        <v>6</v>
      </c>
      <c r="I34" s="148"/>
      <c r="J34" s="148"/>
      <c r="K34" s="147">
        <v>6</v>
      </c>
      <c r="L34" s="148"/>
      <c r="M34" s="148"/>
      <c r="N34" s="147">
        <v>6</v>
      </c>
    </row>
    <row r="35" spans="1:14">
      <c r="A35" s="147" t="s">
        <v>388</v>
      </c>
      <c r="B35" s="147"/>
      <c r="C35" s="147"/>
      <c r="D35" s="147"/>
      <c r="E35" s="147">
        <v>1</v>
      </c>
      <c r="F35" s="147"/>
      <c r="G35" s="147"/>
      <c r="H35" s="147"/>
      <c r="I35" s="148"/>
      <c r="J35" s="148">
        <v>1</v>
      </c>
      <c r="K35" s="147"/>
      <c r="L35" s="148"/>
      <c r="M35" s="148"/>
      <c r="N35" s="147">
        <v>1</v>
      </c>
    </row>
    <row r="36" spans="1:14">
      <c r="A36" s="147" t="s">
        <v>389</v>
      </c>
      <c r="B36" s="147"/>
      <c r="C36" s="147"/>
      <c r="D36" s="147"/>
      <c r="E36" s="147"/>
      <c r="F36" s="147"/>
      <c r="G36" s="147"/>
      <c r="H36" s="147"/>
      <c r="I36" s="148"/>
      <c r="J36" s="148"/>
      <c r="K36" s="147"/>
      <c r="L36" s="148"/>
      <c r="M36" s="148"/>
      <c r="N36" s="147"/>
    </row>
    <row r="37" spans="1:14">
      <c r="A37" s="147" t="s">
        <v>390</v>
      </c>
      <c r="B37" s="147"/>
      <c r="C37" s="147">
        <v>2</v>
      </c>
      <c r="D37" s="147"/>
      <c r="E37" s="147"/>
      <c r="F37" s="147">
        <v>2</v>
      </c>
      <c r="G37" s="147"/>
      <c r="H37" s="147"/>
      <c r="I37" s="148"/>
      <c r="J37" s="148">
        <v>2</v>
      </c>
      <c r="K37" s="147"/>
      <c r="L37" s="148">
        <v>2</v>
      </c>
      <c r="M37" s="148"/>
      <c r="N37" s="147">
        <v>2</v>
      </c>
    </row>
    <row r="38" spans="1:14">
      <c r="A38" s="147" t="s">
        <v>391</v>
      </c>
      <c r="B38" s="147"/>
      <c r="C38" s="147"/>
      <c r="D38" s="147"/>
      <c r="E38" s="147">
        <v>1</v>
      </c>
      <c r="F38" s="147"/>
      <c r="G38" s="147"/>
      <c r="H38" s="147"/>
      <c r="I38" s="148"/>
      <c r="J38" s="148">
        <v>1</v>
      </c>
      <c r="K38" s="147">
        <v>1</v>
      </c>
      <c r="L38" s="148"/>
      <c r="M38" s="148"/>
      <c r="N38" s="147">
        <v>1</v>
      </c>
    </row>
    <row r="39" spans="1:14">
      <c r="A39" s="147" t="s">
        <v>392</v>
      </c>
      <c r="B39" s="147"/>
      <c r="C39" s="147"/>
      <c r="D39" s="147"/>
      <c r="E39" s="147"/>
      <c r="F39" s="147"/>
      <c r="G39" s="147"/>
      <c r="H39" s="148"/>
      <c r="I39" s="148"/>
      <c r="J39" s="148"/>
      <c r="K39" s="148"/>
      <c r="L39" s="148"/>
      <c r="M39" s="148"/>
      <c r="N39" s="148"/>
    </row>
    <row r="40" spans="1:14">
      <c r="A40" s="147" t="s">
        <v>393</v>
      </c>
      <c r="B40" s="147"/>
      <c r="C40" s="147"/>
      <c r="D40" s="147"/>
      <c r="E40" s="147"/>
      <c r="F40" s="147"/>
      <c r="G40" s="147"/>
      <c r="H40" s="148"/>
      <c r="I40" s="148"/>
      <c r="J40" s="148"/>
      <c r="K40" s="148"/>
      <c r="L40" s="148"/>
      <c r="M40" s="148"/>
      <c r="N40" s="148"/>
    </row>
    <row r="41" spans="1:14">
      <c r="A41" s="147" t="s">
        <v>394</v>
      </c>
      <c r="B41" s="147"/>
      <c r="C41" s="147"/>
      <c r="D41" s="147"/>
      <c r="E41" s="147"/>
      <c r="F41" s="147"/>
      <c r="G41" s="147"/>
      <c r="H41" s="148"/>
      <c r="I41" s="148"/>
      <c r="J41" s="148"/>
      <c r="K41" s="148"/>
      <c r="L41" s="148"/>
      <c r="M41" s="148"/>
      <c r="N41" s="148"/>
    </row>
    <row r="42" spans="1:14">
      <c r="A42" s="147" t="s">
        <v>395</v>
      </c>
      <c r="B42" s="147"/>
      <c r="C42" s="147"/>
      <c r="D42" s="147"/>
      <c r="E42" s="147">
        <v>1</v>
      </c>
      <c r="F42" s="147"/>
      <c r="G42" s="147"/>
      <c r="H42" s="147"/>
      <c r="I42" s="148"/>
      <c r="J42" s="148">
        <v>1</v>
      </c>
      <c r="K42" s="147"/>
      <c r="L42" s="148"/>
      <c r="M42" s="148"/>
      <c r="N42" s="147"/>
    </row>
    <row r="43" spans="1:14">
      <c r="A43" s="147" t="s">
        <v>396</v>
      </c>
      <c r="B43" s="147"/>
      <c r="C43" s="147"/>
      <c r="D43" s="147"/>
      <c r="E43" s="147">
        <v>1</v>
      </c>
      <c r="F43" s="147"/>
      <c r="G43" s="147"/>
      <c r="H43" s="147"/>
      <c r="I43" s="148"/>
      <c r="J43" s="148">
        <v>1</v>
      </c>
      <c r="K43" s="147"/>
      <c r="L43" s="148"/>
      <c r="M43" s="148"/>
      <c r="N43" s="147"/>
    </row>
    <row r="44" spans="1:14">
      <c r="A44" s="147" t="s">
        <v>417</v>
      </c>
      <c r="B44" s="147"/>
      <c r="C44" s="147"/>
      <c r="D44" s="147"/>
      <c r="E44" s="147">
        <v>20</v>
      </c>
      <c r="F44" s="147"/>
      <c r="G44" s="147"/>
      <c r="H44" s="147">
        <v>20</v>
      </c>
      <c r="I44" s="148"/>
      <c r="J44" s="148"/>
      <c r="K44" s="147">
        <v>20</v>
      </c>
      <c r="L44" s="148"/>
      <c r="M44" s="148"/>
      <c r="N44" s="147"/>
    </row>
    <row r="45" spans="1:14">
      <c r="A45" s="147" t="s">
        <v>344</v>
      </c>
      <c r="B45" s="147"/>
      <c r="C45" s="147"/>
      <c r="D45" s="147"/>
      <c r="E45" s="147">
        <v>1</v>
      </c>
      <c r="F45" s="147"/>
      <c r="G45" s="147"/>
      <c r="H45" s="147"/>
      <c r="I45" s="148"/>
      <c r="J45" s="148">
        <v>1</v>
      </c>
      <c r="K45" s="147"/>
      <c r="L45" s="148"/>
      <c r="M45" s="148"/>
      <c r="N45" s="147"/>
    </row>
    <row r="46" spans="1:14">
      <c r="A46" s="147" t="s">
        <v>397</v>
      </c>
      <c r="B46" s="147"/>
      <c r="C46" s="147"/>
      <c r="D46" s="147"/>
      <c r="E46" s="147">
        <v>1</v>
      </c>
      <c r="F46" s="147"/>
      <c r="G46" s="147"/>
      <c r="H46" s="147"/>
      <c r="I46" s="148"/>
      <c r="J46" s="148">
        <v>1</v>
      </c>
      <c r="K46" s="147"/>
      <c r="L46" s="148"/>
      <c r="M46" s="148"/>
      <c r="N46" s="147"/>
    </row>
    <row r="47" spans="1:14">
      <c r="A47" s="147" t="s">
        <v>398</v>
      </c>
      <c r="B47" s="147"/>
      <c r="C47" s="147"/>
      <c r="D47" s="147"/>
      <c r="E47" s="147">
        <v>1</v>
      </c>
      <c r="F47" s="147"/>
      <c r="G47" s="147"/>
      <c r="H47" s="147"/>
      <c r="I47" s="148"/>
      <c r="J47" s="148">
        <v>1</v>
      </c>
      <c r="K47" s="147"/>
      <c r="L47" s="148"/>
      <c r="M47" s="148"/>
      <c r="N47" s="147"/>
    </row>
    <row r="48" spans="1:14">
      <c r="A48" s="147" t="s">
        <v>399</v>
      </c>
      <c r="B48" s="147"/>
      <c r="C48" s="147"/>
      <c r="D48" s="147"/>
      <c r="E48" s="147"/>
      <c r="F48" s="147"/>
      <c r="G48" s="147"/>
      <c r="H48" s="147"/>
      <c r="I48" s="148"/>
      <c r="J48" s="148"/>
      <c r="K48" s="147"/>
      <c r="L48" s="148"/>
      <c r="M48" s="148"/>
      <c r="N48" s="147"/>
    </row>
    <row r="49" spans="1:14">
      <c r="A49" s="147" t="s">
        <v>400</v>
      </c>
      <c r="B49" s="147"/>
      <c r="C49" s="147"/>
      <c r="D49" s="147"/>
      <c r="E49" s="147">
        <v>1</v>
      </c>
      <c r="F49" s="147"/>
      <c r="G49" s="147"/>
      <c r="H49" s="147"/>
      <c r="I49" s="148"/>
      <c r="J49" s="148">
        <v>1</v>
      </c>
      <c r="K49" s="147"/>
      <c r="L49" s="148"/>
      <c r="M49" s="148"/>
      <c r="N49" s="147"/>
    </row>
    <row r="50" spans="1:14">
      <c r="A50" s="147" t="s">
        <v>401</v>
      </c>
      <c r="B50" s="147"/>
      <c r="C50" s="147"/>
      <c r="D50" s="147"/>
      <c r="E50" s="147">
        <v>1</v>
      </c>
      <c r="F50" s="147"/>
      <c r="G50" s="147"/>
      <c r="H50" s="147"/>
      <c r="I50" s="148"/>
      <c r="J50" s="148">
        <v>1</v>
      </c>
      <c r="K50" s="147"/>
      <c r="L50" s="148"/>
      <c r="M50" s="148"/>
      <c r="N50" s="147"/>
    </row>
    <row r="51" spans="1:14">
      <c r="A51" s="147" t="s">
        <v>402</v>
      </c>
      <c r="B51" s="147"/>
      <c r="C51" s="147"/>
      <c r="D51" s="147">
        <v>1</v>
      </c>
      <c r="E51" s="147"/>
      <c r="F51" s="147"/>
      <c r="G51" s="147"/>
      <c r="H51" s="148"/>
      <c r="I51" s="148"/>
      <c r="J51" s="148">
        <v>1</v>
      </c>
      <c r="K51" s="148"/>
      <c r="L51" s="148"/>
      <c r="M51" s="148"/>
      <c r="N51" s="148"/>
    </row>
    <row r="52" spans="1:14">
      <c r="A52" s="147" t="s">
        <v>403</v>
      </c>
      <c r="B52" s="147"/>
      <c r="C52" s="147"/>
      <c r="D52" s="147"/>
      <c r="E52" s="147"/>
      <c r="F52" s="147"/>
      <c r="G52" s="147"/>
      <c r="H52" s="148"/>
      <c r="I52" s="148"/>
      <c r="J52" s="148"/>
      <c r="K52" s="148"/>
      <c r="L52" s="148"/>
      <c r="M52" s="148"/>
      <c r="N52" s="148"/>
    </row>
    <row r="53" spans="1:14">
      <c r="A53" s="147" t="s">
        <v>404</v>
      </c>
      <c r="B53" s="147"/>
      <c r="C53" s="147"/>
      <c r="D53" s="147"/>
      <c r="E53" s="147"/>
      <c r="F53" s="147"/>
      <c r="G53" s="147"/>
      <c r="H53" s="148"/>
      <c r="I53" s="148"/>
      <c r="J53" s="148"/>
      <c r="K53" s="148"/>
      <c r="L53" s="148"/>
      <c r="M53" s="148"/>
      <c r="N53" s="148"/>
    </row>
    <row r="54" spans="1:14">
      <c r="A54" s="147" t="s">
        <v>405</v>
      </c>
      <c r="B54" s="147"/>
      <c r="C54" s="147"/>
      <c r="D54" s="147"/>
      <c r="E54" s="147"/>
      <c r="F54" s="147"/>
      <c r="G54" s="147"/>
      <c r="H54" s="148"/>
      <c r="I54" s="148"/>
      <c r="J54" s="148"/>
      <c r="K54" s="148"/>
      <c r="L54" s="148"/>
      <c r="M54" s="148"/>
      <c r="N54" s="148"/>
    </row>
    <row r="55" spans="1:14">
      <c r="A55" s="147" t="s">
        <v>406</v>
      </c>
      <c r="B55" s="147"/>
      <c r="C55" s="147"/>
      <c r="D55" s="147">
        <v>1</v>
      </c>
      <c r="E55" s="147"/>
      <c r="F55" s="147"/>
      <c r="G55" s="147"/>
      <c r="H55" s="148"/>
      <c r="I55" s="148"/>
      <c r="J55" s="148">
        <v>1</v>
      </c>
      <c r="K55" s="148"/>
      <c r="L55" s="148"/>
      <c r="M55" s="148"/>
      <c r="N55" s="148">
        <v>1</v>
      </c>
    </row>
    <row r="56" spans="1:14">
      <c r="A56" s="147" t="s">
        <v>407</v>
      </c>
      <c r="B56" s="147"/>
      <c r="C56" s="147"/>
      <c r="D56" s="147">
        <v>1</v>
      </c>
      <c r="E56" s="147"/>
      <c r="F56" s="147"/>
      <c r="G56" s="147"/>
      <c r="H56" s="148"/>
      <c r="I56" s="148"/>
      <c r="J56" s="148">
        <v>1</v>
      </c>
      <c r="K56" s="148"/>
      <c r="L56" s="148"/>
      <c r="M56" s="148"/>
      <c r="N56" s="148">
        <v>1</v>
      </c>
    </row>
    <row r="57" spans="1:14">
      <c r="A57" s="147" t="s">
        <v>408</v>
      </c>
      <c r="B57" s="147"/>
      <c r="C57" s="147"/>
      <c r="D57" s="147">
        <v>1</v>
      </c>
      <c r="E57" s="147"/>
      <c r="F57" s="147"/>
      <c r="G57" s="147"/>
      <c r="H57" s="148"/>
      <c r="I57" s="148"/>
      <c r="J57" s="148">
        <v>1</v>
      </c>
      <c r="K57" s="148"/>
      <c r="L57" s="148"/>
      <c r="M57" s="148"/>
      <c r="N57" s="148">
        <v>1</v>
      </c>
    </row>
    <row r="58" spans="1:14">
      <c r="A58" s="147" t="s">
        <v>409</v>
      </c>
      <c r="B58" s="147"/>
      <c r="C58" s="147"/>
      <c r="D58" s="147">
        <v>1</v>
      </c>
      <c r="E58" s="147"/>
      <c r="F58" s="147"/>
      <c r="G58" s="147"/>
      <c r="H58" s="148"/>
      <c r="I58" s="148"/>
      <c r="J58" s="148">
        <v>1</v>
      </c>
      <c r="K58" s="148"/>
      <c r="L58" s="148"/>
      <c r="M58" s="148"/>
      <c r="N58" s="148">
        <v>1</v>
      </c>
    </row>
    <row r="59" spans="1:14">
      <c r="A59" s="147" t="s">
        <v>410</v>
      </c>
      <c r="B59" s="147"/>
      <c r="C59" s="147"/>
      <c r="D59" s="147"/>
      <c r="E59" s="147"/>
      <c r="F59" s="147"/>
      <c r="G59" s="147"/>
      <c r="H59" s="148"/>
      <c r="I59" s="148"/>
      <c r="J59" s="148"/>
      <c r="K59" s="148"/>
      <c r="L59" s="148"/>
      <c r="M59" s="148"/>
      <c r="N59" s="148"/>
    </row>
    <row r="60" spans="1:14">
      <c r="A60" s="147" t="s">
        <v>411</v>
      </c>
      <c r="B60" s="147">
        <v>8</v>
      </c>
      <c r="C60" s="147"/>
      <c r="D60" s="147"/>
      <c r="E60" s="147"/>
      <c r="F60" s="147">
        <v>8</v>
      </c>
      <c r="G60" s="147"/>
      <c r="H60" s="148"/>
      <c r="I60" s="148"/>
      <c r="J60" s="148">
        <v>8</v>
      </c>
      <c r="K60" s="148"/>
      <c r="L60" s="148"/>
      <c r="M60" s="148"/>
      <c r="N60" s="148">
        <v>8</v>
      </c>
    </row>
    <row r="61" spans="1:14">
      <c r="A61" s="147" t="s">
        <v>412</v>
      </c>
      <c r="B61" s="147"/>
      <c r="C61" s="147"/>
      <c r="D61" s="147"/>
      <c r="E61" s="147"/>
      <c r="F61" s="147"/>
      <c r="G61" s="147"/>
      <c r="H61" s="148"/>
      <c r="I61" s="148"/>
      <c r="J61" s="148"/>
      <c r="K61" s="148"/>
      <c r="L61" s="148"/>
      <c r="M61" s="148"/>
      <c r="N61" s="148"/>
    </row>
    <row r="62" spans="1:14">
      <c r="A62" s="147" t="s">
        <v>413</v>
      </c>
      <c r="B62" s="147"/>
      <c r="C62" s="147"/>
      <c r="D62" s="147"/>
      <c r="E62" s="147"/>
      <c r="F62" s="147"/>
      <c r="G62" s="147"/>
      <c r="H62" s="148"/>
      <c r="I62" s="148"/>
      <c r="J62" s="148"/>
      <c r="K62" s="148"/>
      <c r="L62" s="148"/>
      <c r="M62" s="148"/>
      <c r="N62" s="148"/>
    </row>
    <row r="63" spans="1:14">
      <c r="A63" s="147" t="s">
        <v>414</v>
      </c>
      <c r="B63" s="147"/>
      <c r="C63" s="147"/>
      <c r="D63" s="147"/>
      <c r="E63" s="147"/>
      <c r="F63" s="147"/>
      <c r="G63" s="147"/>
      <c r="H63" s="148"/>
      <c r="I63" s="148"/>
      <c r="J63" s="148"/>
      <c r="K63" s="148"/>
      <c r="L63" s="148"/>
      <c r="M63" s="148"/>
      <c r="N63" s="148"/>
    </row>
    <row r="64" spans="1:14">
      <c r="A64" s="149" t="s">
        <v>415</v>
      </c>
      <c r="B64" s="148"/>
      <c r="C64" s="148">
        <v>14</v>
      </c>
      <c r="D64" s="148"/>
      <c r="E64" s="148"/>
      <c r="F64" s="148">
        <v>14</v>
      </c>
      <c r="G64" s="148"/>
      <c r="H64" s="148"/>
      <c r="I64" s="148">
        <v>14</v>
      </c>
      <c r="J64" s="148"/>
      <c r="K64" s="148"/>
      <c r="L64" s="148">
        <v>14</v>
      </c>
      <c r="M64" s="148"/>
      <c r="N64" s="148"/>
    </row>
    <row r="65" spans="1:17">
      <c r="A65" s="149" t="s">
        <v>280</v>
      </c>
      <c r="B65" s="148"/>
      <c r="C65" s="148">
        <v>30</v>
      </c>
      <c r="D65" s="148"/>
      <c r="E65" s="148"/>
      <c r="F65" s="148">
        <v>30</v>
      </c>
      <c r="G65" s="148"/>
      <c r="H65" s="148"/>
      <c r="I65" s="148">
        <v>30</v>
      </c>
      <c r="J65" s="148"/>
      <c r="K65" s="148"/>
      <c r="L65" s="148">
        <v>30</v>
      </c>
      <c r="M65" s="148"/>
      <c r="N65" s="148">
        <v>30</v>
      </c>
    </row>
    <row r="66" spans="1:17">
      <c r="A66" s="149" t="s">
        <v>420</v>
      </c>
      <c r="B66" s="148"/>
      <c r="C66" s="148">
        <v>3</v>
      </c>
      <c r="D66" s="148"/>
      <c r="E66" s="148"/>
      <c r="F66" s="148">
        <v>3</v>
      </c>
      <c r="G66" s="148"/>
      <c r="H66" s="148"/>
      <c r="I66" s="148">
        <v>3</v>
      </c>
      <c r="J66" s="148"/>
      <c r="K66" s="148"/>
      <c r="L66" s="148">
        <v>3</v>
      </c>
      <c r="M66" s="148"/>
      <c r="N66" s="148"/>
    </row>
    <row r="70" spans="1:17">
      <c r="A70" t="s">
        <v>418</v>
      </c>
      <c r="B70">
        <f>SUM(B3:B69)</f>
        <v>36</v>
      </c>
      <c r="C70">
        <f t="shared" ref="C70:N70" si="0">SUM(C3:C69)</f>
        <v>131</v>
      </c>
      <c r="D70">
        <f t="shared" si="0"/>
        <v>76</v>
      </c>
      <c r="E70">
        <f t="shared" si="0"/>
        <v>113</v>
      </c>
      <c r="F70">
        <f t="shared" si="0"/>
        <v>106</v>
      </c>
      <c r="G70">
        <f t="shared" si="0"/>
        <v>87</v>
      </c>
      <c r="H70">
        <f t="shared" si="0"/>
        <v>74</v>
      </c>
      <c r="I70">
        <f t="shared" si="0"/>
        <v>114</v>
      </c>
      <c r="J70">
        <f t="shared" si="0"/>
        <v>100</v>
      </c>
      <c r="K70">
        <f t="shared" si="0"/>
        <v>70</v>
      </c>
      <c r="L70">
        <f t="shared" si="0"/>
        <v>94</v>
      </c>
      <c r="M70">
        <f t="shared" si="0"/>
        <v>114</v>
      </c>
      <c r="N70">
        <f t="shared" si="0"/>
        <v>86</v>
      </c>
    </row>
    <row r="72" spans="1:17">
      <c r="A72" t="s">
        <v>421</v>
      </c>
      <c r="Q72" t="s">
        <v>425</v>
      </c>
    </row>
    <row r="73" spans="1:17">
      <c r="A73" t="s">
        <v>422</v>
      </c>
      <c r="B73" s="36">
        <f>B$70*$Q73</f>
        <v>26100</v>
      </c>
      <c r="C73" s="36">
        <f t="shared" ref="C73:N75" si="1">C$70*$Q73</f>
        <v>94975</v>
      </c>
      <c r="D73" s="36">
        <f t="shared" si="1"/>
        <v>55100</v>
      </c>
      <c r="E73" s="36">
        <f t="shared" si="1"/>
        <v>81925</v>
      </c>
      <c r="F73" s="36">
        <f t="shared" si="1"/>
        <v>76850</v>
      </c>
      <c r="G73" s="36">
        <f t="shared" si="1"/>
        <v>63075</v>
      </c>
      <c r="H73" s="36">
        <f t="shared" si="1"/>
        <v>53650</v>
      </c>
      <c r="I73" s="36">
        <f t="shared" si="1"/>
        <v>82650</v>
      </c>
      <c r="J73" s="36">
        <f t="shared" si="1"/>
        <v>72500</v>
      </c>
      <c r="K73" s="36">
        <f t="shared" si="1"/>
        <v>50750</v>
      </c>
      <c r="L73" s="36">
        <f t="shared" si="1"/>
        <v>68150</v>
      </c>
      <c r="M73" s="36">
        <f t="shared" si="1"/>
        <v>82650</v>
      </c>
      <c r="N73" s="36">
        <f t="shared" si="1"/>
        <v>62350</v>
      </c>
      <c r="Q73" s="36">
        <v>725</v>
      </c>
    </row>
    <row r="74" spans="1:17" ht="17.25">
      <c r="A74" t="s">
        <v>423</v>
      </c>
      <c r="B74" s="37">
        <f>B$70*$Q74</f>
        <v>39456</v>
      </c>
      <c r="C74" s="37">
        <f t="shared" si="1"/>
        <v>143576</v>
      </c>
      <c r="D74" s="37">
        <f t="shared" si="1"/>
        <v>83296</v>
      </c>
      <c r="E74" s="37">
        <f t="shared" si="1"/>
        <v>123848</v>
      </c>
      <c r="F74" s="37">
        <f t="shared" si="1"/>
        <v>116176</v>
      </c>
      <c r="G74" s="37">
        <f t="shared" si="1"/>
        <v>95352</v>
      </c>
      <c r="H74" s="37">
        <f t="shared" si="1"/>
        <v>81104</v>
      </c>
      <c r="I74" s="37">
        <f t="shared" si="1"/>
        <v>124944</v>
      </c>
      <c r="J74" s="37">
        <f t="shared" si="1"/>
        <v>109600</v>
      </c>
      <c r="K74" s="37">
        <f t="shared" si="1"/>
        <v>76720</v>
      </c>
      <c r="L74" s="37">
        <f t="shared" si="1"/>
        <v>103024</v>
      </c>
      <c r="M74" s="37">
        <f t="shared" si="1"/>
        <v>124944</v>
      </c>
      <c r="N74" s="37">
        <f t="shared" si="1"/>
        <v>94256</v>
      </c>
      <c r="Q74" s="36">
        <v>1096</v>
      </c>
    </row>
    <row r="75" spans="1:17">
      <c r="A75" t="s">
        <v>424</v>
      </c>
      <c r="B75" s="36">
        <f>B$70*$Q75</f>
        <v>50256</v>
      </c>
      <c r="C75" s="36">
        <f t="shared" si="1"/>
        <v>182876</v>
      </c>
      <c r="D75" s="36">
        <f t="shared" si="1"/>
        <v>106096</v>
      </c>
      <c r="E75" s="36">
        <f t="shared" si="1"/>
        <v>157748</v>
      </c>
      <c r="F75" s="36">
        <f t="shared" si="1"/>
        <v>147976</v>
      </c>
      <c r="G75" s="36">
        <f t="shared" si="1"/>
        <v>121452</v>
      </c>
      <c r="H75" s="36">
        <f t="shared" si="1"/>
        <v>103304</v>
      </c>
      <c r="I75" s="36">
        <f t="shared" si="1"/>
        <v>159144</v>
      </c>
      <c r="J75" s="36">
        <f t="shared" si="1"/>
        <v>139600</v>
      </c>
      <c r="K75" s="36">
        <f t="shared" si="1"/>
        <v>97720</v>
      </c>
      <c r="L75" s="36">
        <f t="shared" si="1"/>
        <v>131224</v>
      </c>
      <c r="M75" s="36">
        <f t="shared" si="1"/>
        <v>159144</v>
      </c>
      <c r="N75" s="36">
        <f t="shared" si="1"/>
        <v>120056</v>
      </c>
      <c r="Q75" s="36">
        <v>1396</v>
      </c>
    </row>
    <row r="77" spans="1:17">
      <c r="B77">
        <v>2010</v>
      </c>
      <c r="C77">
        <v>2011</v>
      </c>
      <c r="D77">
        <v>2012</v>
      </c>
      <c r="E77">
        <v>2013</v>
      </c>
      <c r="F77">
        <v>2014</v>
      </c>
      <c r="G77">
        <v>2015</v>
      </c>
      <c r="H77">
        <v>2016</v>
      </c>
      <c r="I77">
        <v>2017</v>
      </c>
      <c r="J77">
        <v>2018</v>
      </c>
      <c r="K77">
        <v>2019</v>
      </c>
      <c r="L77">
        <v>2020</v>
      </c>
      <c r="M77">
        <v>2021</v>
      </c>
      <c r="N77">
        <v>2022</v>
      </c>
    </row>
  </sheetData>
  <pageMargins left="0.7" right="0.7" top="0.75" bottom="0.75" header="0.3" footer="0.3"/>
  <pageSetup orientation="portrait" horizontalDpi="4294967295" verticalDpi="4294967295"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3"/>
  <sheetViews>
    <sheetView topLeftCell="F70" workbookViewId="0">
      <selection activeCell="J172" sqref="J172"/>
    </sheetView>
  </sheetViews>
  <sheetFormatPr defaultRowHeight="16.5"/>
  <cols>
    <col min="1" max="1" width="11.875" customWidth="1"/>
    <col min="2" max="2" width="14.875" bestFit="1" customWidth="1"/>
    <col min="3" max="3" width="18.125" bestFit="1" customWidth="1"/>
    <col min="4" max="4" width="11.75" bestFit="1" customWidth="1"/>
    <col min="5" max="5" width="18.75" bestFit="1" customWidth="1"/>
    <col min="8" max="8" width="37.875" bestFit="1" customWidth="1"/>
    <col min="9" max="9" width="34.125" bestFit="1" customWidth="1"/>
    <col min="10" max="10" width="16.875" bestFit="1" customWidth="1"/>
    <col min="11" max="17" width="11.125" bestFit="1" customWidth="1"/>
  </cols>
  <sheetData>
    <row r="1" spans="1:17" ht="22.5">
      <c r="A1" s="356" t="s">
        <v>1074</v>
      </c>
      <c r="K1" s="357">
        <v>41852</v>
      </c>
      <c r="L1" s="357">
        <v>42217</v>
      </c>
      <c r="M1" s="357">
        <v>42583</v>
      </c>
      <c r="N1" s="357">
        <v>42948</v>
      </c>
      <c r="O1" s="357">
        <v>43313</v>
      </c>
      <c r="P1" s="357">
        <v>43678</v>
      </c>
      <c r="Q1" t="s">
        <v>1075</v>
      </c>
    </row>
    <row r="2" spans="1:17" ht="17.25">
      <c r="A2" s="98" t="s">
        <v>1076</v>
      </c>
      <c r="B2" s="98" t="s">
        <v>1077</v>
      </c>
      <c r="C2" s="98" t="s">
        <v>1078</v>
      </c>
      <c r="D2" s="98" t="s">
        <v>1079</v>
      </c>
      <c r="E2" s="98" t="s">
        <v>1080</v>
      </c>
      <c r="F2" s="98" t="s">
        <v>1081</v>
      </c>
      <c r="G2" s="98" t="s">
        <v>1082</v>
      </c>
      <c r="H2" s="98" t="s">
        <v>1083</v>
      </c>
      <c r="I2" s="98" t="s">
        <v>1084</v>
      </c>
      <c r="J2" s="98" t="s">
        <v>1085</v>
      </c>
      <c r="K2" s="98">
        <v>2014</v>
      </c>
      <c r="L2" s="98">
        <v>2015</v>
      </c>
      <c r="M2" s="98">
        <v>2016</v>
      </c>
      <c r="N2" s="98">
        <v>2017</v>
      </c>
      <c r="O2" s="98">
        <v>2018</v>
      </c>
      <c r="P2" s="98">
        <v>2019</v>
      </c>
      <c r="Q2" s="98">
        <v>2020</v>
      </c>
    </row>
    <row r="3" spans="1:17">
      <c r="A3">
        <v>241342</v>
      </c>
      <c r="B3" t="s">
        <v>1086</v>
      </c>
      <c r="C3" t="s">
        <v>1087</v>
      </c>
      <c r="D3" s="357">
        <v>40490</v>
      </c>
      <c r="E3" t="s">
        <v>1088</v>
      </c>
      <c r="F3">
        <v>125</v>
      </c>
      <c r="H3" t="s">
        <v>1089</v>
      </c>
      <c r="I3" t="s">
        <v>1090</v>
      </c>
      <c r="J3" s="357">
        <f>D3+1092</f>
        <v>41582</v>
      </c>
      <c r="K3" t="str">
        <f>IF(D3+1095&lt;=$K$1,"Yes","No")</f>
        <v>Yes</v>
      </c>
      <c r="L3" t="str">
        <f>IF(AND($D3+1095&lt;=$L$1,$D3+1095&gt;=K$1),"Yes","No")</f>
        <v>No</v>
      </c>
      <c r="M3" t="str">
        <f>IF(AND($D3+1095&lt;=$M$1,$D3+1095&gt;=L$1),"Yes","No")</f>
        <v>No</v>
      </c>
      <c r="N3" t="str">
        <f>K3</f>
        <v>Yes</v>
      </c>
      <c r="O3" t="str">
        <f t="shared" ref="O3:Q18" si="0">L3</f>
        <v>No</v>
      </c>
      <c r="P3" t="str">
        <f t="shared" si="0"/>
        <v>No</v>
      </c>
      <c r="Q3" t="str">
        <f t="shared" si="0"/>
        <v>Yes</v>
      </c>
    </row>
    <row r="4" spans="1:17">
      <c r="A4">
        <v>240116</v>
      </c>
      <c r="B4" t="s">
        <v>1086</v>
      </c>
      <c r="C4" t="s">
        <v>1091</v>
      </c>
      <c r="D4" s="357">
        <v>40494</v>
      </c>
      <c r="E4" t="s">
        <v>1092</v>
      </c>
      <c r="F4">
        <v>125</v>
      </c>
      <c r="H4" t="s">
        <v>1089</v>
      </c>
      <c r="J4" s="357">
        <f t="shared" ref="J4:J67" si="1">D4+1092</f>
        <v>41586</v>
      </c>
      <c r="K4" t="str">
        <f t="shared" ref="K4:K67" si="2">IF(D4+1095&lt;=$K$1,"Yes","No")</f>
        <v>Yes</v>
      </c>
      <c r="L4" t="str">
        <f t="shared" ref="L4:L67" si="3">IF(AND($D4+1095&lt;=$L$1,$D4+1095&gt;=K$1),"Yes","No")</f>
        <v>No</v>
      </c>
      <c r="M4" t="str">
        <f t="shared" ref="M4:M67" si="4">IF(AND($D4+1095&lt;=$M$1,$D4+1095&gt;=L$1),"Yes","No")</f>
        <v>No</v>
      </c>
      <c r="N4" t="str">
        <f t="shared" ref="N4:Q67" si="5">K4</f>
        <v>Yes</v>
      </c>
      <c r="O4" t="str">
        <f t="shared" si="0"/>
        <v>No</v>
      </c>
      <c r="P4" t="str">
        <f t="shared" si="0"/>
        <v>No</v>
      </c>
      <c r="Q4" t="str">
        <f t="shared" si="0"/>
        <v>Yes</v>
      </c>
    </row>
    <row r="5" spans="1:17">
      <c r="A5">
        <v>240215</v>
      </c>
      <c r="B5" t="s">
        <v>1086</v>
      </c>
      <c r="C5" t="s">
        <v>1091</v>
      </c>
      <c r="D5" s="357">
        <v>40494</v>
      </c>
      <c r="E5" t="s">
        <v>1093</v>
      </c>
      <c r="F5">
        <v>125</v>
      </c>
      <c r="H5" t="s">
        <v>1094</v>
      </c>
      <c r="I5" t="s">
        <v>1095</v>
      </c>
      <c r="J5" s="357">
        <f t="shared" si="1"/>
        <v>41586</v>
      </c>
      <c r="K5" t="str">
        <f t="shared" si="2"/>
        <v>Yes</v>
      </c>
      <c r="L5" t="str">
        <f t="shared" si="3"/>
        <v>No</v>
      </c>
      <c r="M5" t="str">
        <f t="shared" si="4"/>
        <v>No</v>
      </c>
      <c r="N5" t="str">
        <f t="shared" si="5"/>
        <v>Yes</v>
      </c>
      <c r="O5" t="str">
        <f t="shared" si="0"/>
        <v>No</v>
      </c>
      <c r="P5" t="str">
        <f t="shared" si="0"/>
        <v>No</v>
      </c>
      <c r="Q5" t="str">
        <f t="shared" si="0"/>
        <v>Yes</v>
      </c>
    </row>
    <row r="6" spans="1:17">
      <c r="A6">
        <v>240004</v>
      </c>
      <c r="B6" t="s">
        <v>1086</v>
      </c>
      <c r="C6" t="s">
        <v>1096</v>
      </c>
      <c r="D6" s="357">
        <v>40494</v>
      </c>
      <c r="E6" t="s">
        <v>1097</v>
      </c>
      <c r="F6">
        <v>125</v>
      </c>
      <c r="H6" t="s">
        <v>1098</v>
      </c>
      <c r="I6" t="s">
        <v>1099</v>
      </c>
      <c r="J6" s="357">
        <f t="shared" si="1"/>
        <v>41586</v>
      </c>
      <c r="K6" t="str">
        <f t="shared" si="2"/>
        <v>Yes</v>
      </c>
      <c r="L6" t="str">
        <f t="shared" si="3"/>
        <v>No</v>
      </c>
      <c r="M6" t="str">
        <f t="shared" si="4"/>
        <v>No</v>
      </c>
      <c r="N6" t="str">
        <f t="shared" si="5"/>
        <v>Yes</v>
      </c>
      <c r="O6" t="str">
        <f t="shared" si="0"/>
        <v>No</v>
      </c>
      <c r="P6" t="str">
        <f t="shared" si="0"/>
        <v>No</v>
      </c>
      <c r="Q6" t="str">
        <f t="shared" si="0"/>
        <v>Yes</v>
      </c>
    </row>
    <row r="7" spans="1:17">
      <c r="A7">
        <v>240770</v>
      </c>
      <c r="B7" t="s">
        <v>1086</v>
      </c>
      <c r="C7" t="s">
        <v>1091</v>
      </c>
      <c r="D7" s="357">
        <v>40494</v>
      </c>
      <c r="E7" t="s">
        <v>1100</v>
      </c>
      <c r="F7">
        <v>125</v>
      </c>
      <c r="H7" t="s">
        <v>1101</v>
      </c>
      <c r="I7" t="s">
        <v>1090</v>
      </c>
      <c r="J7" s="357">
        <f t="shared" si="1"/>
        <v>41586</v>
      </c>
      <c r="K7" t="str">
        <f t="shared" si="2"/>
        <v>Yes</v>
      </c>
      <c r="L7" t="str">
        <f t="shared" si="3"/>
        <v>No</v>
      </c>
      <c r="M7" t="str">
        <f t="shared" si="4"/>
        <v>No</v>
      </c>
      <c r="N7" t="str">
        <f t="shared" si="5"/>
        <v>Yes</v>
      </c>
      <c r="O7" t="str">
        <f t="shared" si="0"/>
        <v>No</v>
      </c>
      <c r="P7" t="str">
        <f t="shared" si="0"/>
        <v>No</v>
      </c>
      <c r="Q7" t="str">
        <f t="shared" si="0"/>
        <v>Yes</v>
      </c>
    </row>
    <row r="8" spans="1:17">
      <c r="A8">
        <v>241691</v>
      </c>
      <c r="B8" t="s">
        <v>1086</v>
      </c>
      <c r="C8" t="s">
        <v>1102</v>
      </c>
      <c r="D8" s="357">
        <v>40497</v>
      </c>
      <c r="E8" t="s">
        <v>1103</v>
      </c>
      <c r="F8">
        <v>125</v>
      </c>
      <c r="H8" t="s">
        <v>1104</v>
      </c>
      <c r="I8" t="s">
        <v>1105</v>
      </c>
      <c r="J8" s="357">
        <f t="shared" si="1"/>
        <v>41589</v>
      </c>
      <c r="K8" t="str">
        <f t="shared" si="2"/>
        <v>Yes</v>
      </c>
      <c r="L8" t="str">
        <f t="shared" si="3"/>
        <v>No</v>
      </c>
      <c r="M8" t="str">
        <f t="shared" si="4"/>
        <v>No</v>
      </c>
      <c r="N8" t="str">
        <f t="shared" si="5"/>
        <v>Yes</v>
      </c>
      <c r="O8" t="str">
        <f t="shared" si="0"/>
        <v>No</v>
      </c>
      <c r="P8" t="str">
        <f t="shared" si="0"/>
        <v>No</v>
      </c>
      <c r="Q8" t="str">
        <f t="shared" si="0"/>
        <v>Yes</v>
      </c>
    </row>
    <row r="9" spans="1:17">
      <c r="A9">
        <v>241690</v>
      </c>
      <c r="B9" t="s">
        <v>1086</v>
      </c>
      <c r="C9" t="s">
        <v>1102</v>
      </c>
      <c r="D9" s="357">
        <v>40497</v>
      </c>
      <c r="E9" t="s">
        <v>1106</v>
      </c>
      <c r="F9">
        <v>125</v>
      </c>
      <c r="H9" t="s">
        <v>1107</v>
      </c>
      <c r="I9" t="s">
        <v>1108</v>
      </c>
      <c r="J9" s="357">
        <f t="shared" si="1"/>
        <v>41589</v>
      </c>
      <c r="K9" t="str">
        <f t="shared" si="2"/>
        <v>Yes</v>
      </c>
      <c r="L9" t="str">
        <f t="shared" si="3"/>
        <v>No</v>
      </c>
      <c r="M9" t="str">
        <f t="shared" si="4"/>
        <v>No</v>
      </c>
      <c r="N9" t="str">
        <f t="shared" si="5"/>
        <v>Yes</v>
      </c>
      <c r="O9" t="str">
        <f t="shared" si="0"/>
        <v>No</v>
      </c>
      <c r="P9" t="str">
        <f t="shared" si="0"/>
        <v>No</v>
      </c>
      <c r="Q9" t="str">
        <f t="shared" si="0"/>
        <v>Yes</v>
      </c>
    </row>
    <row r="10" spans="1:17">
      <c r="A10">
        <v>241428</v>
      </c>
      <c r="B10" t="s">
        <v>1086</v>
      </c>
      <c r="C10" t="s">
        <v>1087</v>
      </c>
      <c r="D10" s="357">
        <v>40499</v>
      </c>
      <c r="E10" t="s">
        <v>1109</v>
      </c>
      <c r="F10">
        <v>125</v>
      </c>
      <c r="H10" t="s">
        <v>1110</v>
      </c>
      <c r="I10" t="s">
        <v>1111</v>
      </c>
      <c r="J10" s="357">
        <f t="shared" si="1"/>
        <v>41591</v>
      </c>
      <c r="K10" t="str">
        <f t="shared" si="2"/>
        <v>Yes</v>
      </c>
      <c r="L10" t="str">
        <f t="shared" si="3"/>
        <v>No</v>
      </c>
      <c r="M10" t="str">
        <f t="shared" si="4"/>
        <v>No</v>
      </c>
      <c r="N10" t="str">
        <f t="shared" si="5"/>
        <v>Yes</v>
      </c>
      <c r="O10" t="str">
        <f t="shared" si="0"/>
        <v>No</v>
      </c>
      <c r="P10" t="str">
        <f t="shared" si="0"/>
        <v>No</v>
      </c>
      <c r="Q10" t="str">
        <f t="shared" si="0"/>
        <v>Yes</v>
      </c>
    </row>
    <row r="11" spans="1:17">
      <c r="A11">
        <v>241485</v>
      </c>
      <c r="B11" t="s">
        <v>1112</v>
      </c>
      <c r="C11" t="s">
        <v>1113</v>
      </c>
      <c r="D11" s="357">
        <v>40499</v>
      </c>
      <c r="E11" t="s">
        <v>1114</v>
      </c>
      <c r="F11">
        <v>125</v>
      </c>
      <c r="H11" t="s">
        <v>1104</v>
      </c>
      <c r="I11" t="s">
        <v>1105</v>
      </c>
      <c r="J11" s="357">
        <f t="shared" si="1"/>
        <v>41591</v>
      </c>
      <c r="K11" t="str">
        <f t="shared" si="2"/>
        <v>Yes</v>
      </c>
      <c r="L11" t="str">
        <f t="shared" si="3"/>
        <v>No</v>
      </c>
      <c r="M11" t="str">
        <f t="shared" si="4"/>
        <v>No</v>
      </c>
      <c r="N11" t="str">
        <f t="shared" si="5"/>
        <v>Yes</v>
      </c>
      <c r="O11" t="str">
        <f t="shared" si="0"/>
        <v>No</v>
      </c>
      <c r="P11" t="str">
        <f t="shared" si="0"/>
        <v>No</v>
      </c>
      <c r="Q11" t="str">
        <f t="shared" si="0"/>
        <v>Yes</v>
      </c>
    </row>
    <row r="12" spans="1:17">
      <c r="A12">
        <v>241499</v>
      </c>
      <c r="B12" t="s">
        <v>1112</v>
      </c>
      <c r="C12" t="s">
        <v>1115</v>
      </c>
      <c r="D12" s="357">
        <v>40499</v>
      </c>
      <c r="E12" t="s">
        <v>1116</v>
      </c>
      <c r="F12">
        <v>125</v>
      </c>
      <c r="H12" t="s">
        <v>1117</v>
      </c>
      <c r="I12" t="s">
        <v>1108</v>
      </c>
      <c r="J12" s="357">
        <f t="shared" si="1"/>
        <v>41591</v>
      </c>
      <c r="K12" t="str">
        <f t="shared" si="2"/>
        <v>Yes</v>
      </c>
      <c r="L12" t="str">
        <f t="shared" si="3"/>
        <v>No</v>
      </c>
      <c r="M12" t="str">
        <f t="shared" si="4"/>
        <v>No</v>
      </c>
      <c r="N12" t="str">
        <f t="shared" si="5"/>
        <v>Yes</v>
      </c>
      <c r="O12" t="str">
        <f t="shared" si="0"/>
        <v>No</v>
      </c>
      <c r="P12" t="str">
        <f t="shared" si="0"/>
        <v>No</v>
      </c>
      <c r="Q12" t="str">
        <f t="shared" si="0"/>
        <v>Yes</v>
      </c>
    </row>
    <row r="13" spans="1:17">
      <c r="A13">
        <v>241181</v>
      </c>
      <c r="B13" t="s">
        <v>1112</v>
      </c>
      <c r="C13" t="s">
        <v>1118</v>
      </c>
      <c r="D13" s="357">
        <v>40499</v>
      </c>
      <c r="E13" t="s">
        <v>1119</v>
      </c>
      <c r="F13">
        <v>125</v>
      </c>
      <c r="H13" t="s">
        <v>1120</v>
      </c>
      <c r="I13" t="s">
        <v>1121</v>
      </c>
      <c r="J13" s="357">
        <f t="shared" si="1"/>
        <v>41591</v>
      </c>
      <c r="K13" t="str">
        <f t="shared" si="2"/>
        <v>Yes</v>
      </c>
      <c r="L13" t="str">
        <f t="shared" si="3"/>
        <v>No</v>
      </c>
      <c r="M13" t="str">
        <f t="shared" si="4"/>
        <v>No</v>
      </c>
      <c r="N13" t="str">
        <f t="shared" si="5"/>
        <v>Yes</v>
      </c>
      <c r="O13" t="str">
        <f t="shared" si="0"/>
        <v>No</v>
      </c>
      <c r="P13" t="str">
        <f t="shared" si="0"/>
        <v>No</v>
      </c>
      <c r="Q13" t="str">
        <f t="shared" si="0"/>
        <v>Yes</v>
      </c>
    </row>
    <row r="14" spans="1:17">
      <c r="A14">
        <v>241742</v>
      </c>
      <c r="B14" t="s">
        <v>1122</v>
      </c>
      <c r="C14" t="s">
        <v>1122</v>
      </c>
      <c r="D14" s="357">
        <v>40499</v>
      </c>
      <c r="E14" t="s">
        <v>1123</v>
      </c>
      <c r="F14">
        <v>125</v>
      </c>
      <c r="H14" t="s">
        <v>1124</v>
      </c>
      <c r="I14" t="s">
        <v>1125</v>
      </c>
      <c r="J14" s="357">
        <f t="shared" si="1"/>
        <v>41591</v>
      </c>
      <c r="K14" t="str">
        <f t="shared" si="2"/>
        <v>Yes</v>
      </c>
      <c r="L14" t="str">
        <f t="shared" si="3"/>
        <v>No</v>
      </c>
      <c r="M14" t="str">
        <f t="shared" si="4"/>
        <v>No</v>
      </c>
      <c r="N14" t="str">
        <f t="shared" si="5"/>
        <v>Yes</v>
      </c>
      <c r="O14" t="str">
        <f t="shared" si="0"/>
        <v>No</v>
      </c>
      <c r="P14" t="str">
        <f t="shared" si="0"/>
        <v>No</v>
      </c>
      <c r="Q14" t="str">
        <f t="shared" si="0"/>
        <v>Yes</v>
      </c>
    </row>
    <row r="15" spans="1:17">
      <c r="A15">
        <v>241779</v>
      </c>
      <c r="B15" t="s">
        <v>1112</v>
      </c>
      <c r="C15" t="s">
        <v>1113</v>
      </c>
      <c r="D15" s="357">
        <v>40499</v>
      </c>
      <c r="E15" t="s">
        <v>1114</v>
      </c>
      <c r="F15">
        <v>125</v>
      </c>
      <c r="H15" t="s">
        <v>1104</v>
      </c>
      <c r="I15" t="s">
        <v>1105</v>
      </c>
      <c r="J15" s="357">
        <f t="shared" si="1"/>
        <v>41591</v>
      </c>
      <c r="K15" t="str">
        <f t="shared" si="2"/>
        <v>Yes</v>
      </c>
      <c r="L15" t="str">
        <f t="shared" si="3"/>
        <v>No</v>
      </c>
      <c r="M15" t="str">
        <f t="shared" si="4"/>
        <v>No</v>
      </c>
      <c r="N15" t="str">
        <f t="shared" si="5"/>
        <v>Yes</v>
      </c>
      <c r="O15" t="str">
        <f t="shared" si="0"/>
        <v>No</v>
      </c>
      <c r="P15" t="str">
        <f t="shared" si="0"/>
        <v>No</v>
      </c>
      <c r="Q15" t="str">
        <f t="shared" si="0"/>
        <v>Yes</v>
      </c>
    </row>
    <row r="16" spans="1:17">
      <c r="A16">
        <v>240540</v>
      </c>
      <c r="B16" t="s">
        <v>1086</v>
      </c>
      <c r="C16" t="s">
        <v>1096</v>
      </c>
      <c r="D16" s="357">
        <v>40499</v>
      </c>
      <c r="E16" t="s">
        <v>1126</v>
      </c>
      <c r="F16">
        <v>125</v>
      </c>
      <c r="H16" t="s">
        <v>1127</v>
      </c>
      <c r="I16" t="s">
        <v>1128</v>
      </c>
      <c r="J16" s="357">
        <f t="shared" si="1"/>
        <v>41591</v>
      </c>
      <c r="K16" t="str">
        <f t="shared" si="2"/>
        <v>Yes</v>
      </c>
      <c r="L16" t="str">
        <f t="shared" si="3"/>
        <v>No</v>
      </c>
      <c r="M16" t="str">
        <f t="shared" si="4"/>
        <v>No</v>
      </c>
      <c r="N16" t="str">
        <f t="shared" si="5"/>
        <v>Yes</v>
      </c>
      <c r="O16" t="str">
        <f t="shared" si="0"/>
        <v>No</v>
      </c>
      <c r="P16" t="str">
        <f t="shared" si="0"/>
        <v>No</v>
      </c>
      <c r="Q16" t="str">
        <f t="shared" si="0"/>
        <v>Yes</v>
      </c>
    </row>
    <row r="17" spans="1:17">
      <c r="A17">
        <v>240538</v>
      </c>
      <c r="B17" t="s">
        <v>1086</v>
      </c>
      <c r="C17" t="s">
        <v>1096</v>
      </c>
      <c r="D17" s="357">
        <v>40499</v>
      </c>
      <c r="E17" t="s">
        <v>1126</v>
      </c>
      <c r="F17">
        <v>125</v>
      </c>
      <c r="H17" t="s">
        <v>1127</v>
      </c>
      <c r="I17" t="s">
        <v>1128</v>
      </c>
      <c r="J17" s="357">
        <f t="shared" si="1"/>
        <v>41591</v>
      </c>
      <c r="K17" t="str">
        <f t="shared" si="2"/>
        <v>Yes</v>
      </c>
      <c r="L17" t="str">
        <f t="shared" si="3"/>
        <v>No</v>
      </c>
      <c r="M17" t="str">
        <f t="shared" si="4"/>
        <v>No</v>
      </c>
      <c r="N17" t="str">
        <f t="shared" si="5"/>
        <v>Yes</v>
      </c>
      <c r="O17" t="str">
        <f t="shared" si="0"/>
        <v>No</v>
      </c>
      <c r="P17" t="str">
        <f t="shared" si="0"/>
        <v>No</v>
      </c>
      <c r="Q17" t="str">
        <f t="shared" si="0"/>
        <v>Yes</v>
      </c>
    </row>
    <row r="18" spans="1:17">
      <c r="A18">
        <v>240665</v>
      </c>
      <c r="B18" t="s">
        <v>1086</v>
      </c>
      <c r="C18" t="s">
        <v>1129</v>
      </c>
      <c r="D18" s="357">
        <v>40500</v>
      </c>
      <c r="E18" t="s">
        <v>1130</v>
      </c>
      <c r="F18">
        <v>125</v>
      </c>
      <c r="H18" t="s">
        <v>1131</v>
      </c>
      <c r="I18" t="s">
        <v>1132</v>
      </c>
      <c r="J18" s="357">
        <f t="shared" si="1"/>
        <v>41592</v>
      </c>
      <c r="K18" t="str">
        <f t="shared" si="2"/>
        <v>Yes</v>
      </c>
      <c r="L18" t="str">
        <f t="shared" si="3"/>
        <v>No</v>
      </c>
      <c r="M18" t="str">
        <f t="shared" si="4"/>
        <v>No</v>
      </c>
      <c r="N18" t="str">
        <f t="shared" si="5"/>
        <v>Yes</v>
      </c>
      <c r="O18" t="str">
        <f t="shared" si="0"/>
        <v>No</v>
      </c>
      <c r="P18" t="str">
        <f t="shared" si="0"/>
        <v>No</v>
      </c>
      <c r="Q18" t="str">
        <f t="shared" si="0"/>
        <v>Yes</v>
      </c>
    </row>
    <row r="19" spans="1:17">
      <c r="A19">
        <v>240796</v>
      </c>
      <c r="B19" t="s">
        <v>1086</v>
      </c>
      <c r="C19" t="s">
        <v>1129</v>
      </c>
      <c r="D19" s="357">
        <v>40500</v>
      </c>
      <c r="E19" t="s">
        <v>1097</v>
      </c>
      <c r="F19">
        <v>125</v>
      </c>
      <c r="H19" t="s">
        <v>1131</v>
      </c>
      <c r="I19" t="s">
        <v>1132</v>
      </c>
      <c r="J19" s="357">
        <f t="shared" si="1"/>
        <v>41592</v>
      </c>
      <c r="K19" t="str">
        <f t="shared" si="2"/>
        <v>Yes</v>
      </c>
      <c r="L19" t="str">
        <f t="shared" si="3"/>
        <v>No</v>
      </c>
      <c r="M19" t="str">
        <f t="shared" si="4"/>
        <v>No</v>
      </c>
      <c r="N19" t="str">
        <f t="shared" si="5"/>
        <v>Yes</v>
      </c>
      <c r="O19" t="str">
        <f t="shared" si="5"/>
        <v>No</v>
      </c>
      <c r="P19" t="str">
        <f t="shared" si="5"/>
        <v>No</v>
      </c>
      <c r="Q19" t="str">
        <f t="shared" si="5"/>
        <v>Yes</v>
      </c>
    </row>
    <row r="20" spans="1:17">
      <c r="A20">
        <v>240664</v>
      </c>
      <c r="B20" t="s">
        <v>1086</v>
      </c>
      <c r="C20" t="s">
        <v>1129</v>
      </c>
      <c r="D20" s="357">
        <v>40500</v>
      </c>
      <c r="E20" t="s">
        <v>1133</v>
      </c>
      <c r="F20">
        <v>125</v>
      </c>
      <c r="H20" t="s">
        <v>1131</v>
      </c>
      <c r="I20" t="s">
        <v>1132</v>
      </c>
      <c r="J20" s="357">
        <f t="shared" si="1"/>
        <v>41592</v>
      </c>
      <c r="K20" t="str">
        <f t="shared" si="2"/>
        <v>Yes</v>
      </c>
      <c r="L20" t="str">
        <f t="shared" si="3"/>
        <v>No</v>
      </c>
      <c r="M20" t="str">
        <f t="shared" si="4"/>
        <v>No</v>
      </c>
      <c r="N20" t="str">
        <f t="shared" si="5"/>
        <v>Yes</v>
      </c>
      <c r="O20" t="str">
        <f t="shared" si="5"/>
        <v>No</v>
      </c>
      <c r="P20" t="str">
        <f t="shared" si="5"/>
        <v>No</v>
      </c>
      <c r="Q20" t="str">
        <f t="shared" si="5"/>
        <v>Yes</v>
      </c>
    </row>
    <row r="21" spans="1:17">
      <c r="A21">
        <v>240823</v>
      </c>
      <c r="B21" t="s">
        <v>1086</v>
      </c>
      <c r="C21" t="s">
        <v>1134</v>
      </c>
      <c r="D21" s="357">
        <v>40500</v>
      </c>
      <c r="E21" t="s">
        <v>1135</v>
      </c>
      <c r="F21">
        <v>125</v>
      </c>
      <c r="H21" t="s">
        <v>1136</v>
      </c>
      <c r="I21" t="s">
        <v>1137</v>
      </c>
      <c r="J21" s="357">
        <f t="shared" si="1"/>
        <v>41592</v>
      </c>
      <c r="K21" t="str">
        <f t="shared" si="2"/>
        <v>Yes</v>
      </c>
      <c r="L21" t="str">
        <f t="shared" si="3"/>
        <v>No</v>
      </c>
      <c r="M21" t="str">
        <f t="shared" si="4"/>
        <v>No</v>
      </c>
      <c r="N21" t="str">
        <f t="shared" si="5"/>
        <v>Yes</v>
      </c>
      <c r="O21" t="str">
        <f t="shared" si="5"/>
        <v>No</v>
      </c>
      <c r="P21" t="str">
        <f t="shared" si="5"/>
        <v>No</v>
      </c>
      <c r="Q21" t="str">
        <f t="shared" si="5"/>
        <v>Yes</v>
      </c>
    </row>
    <row r="22" spans="1:17">
      <c r="A22">
        <v>241715</v>
      </c>
      <c r="B22" t="s">
        <v>1086</v>
      </c>
      <c r="C22" t="s">
        <v>1102</v>
      </c>
      <c r="D22" s="357">
        <v>40500</v>
      </c>
      <c r="E22" t="s">
        <v>1138</v>
      </c>
      <c r="F22">
        <v>125</v>
      </c>
      <c r="H22" t="s">
        <v>1139</v>
      </c>
      <c r="I22" t="s">
        <v>1140</v>
      </c>
      <c r="J22" s="357">
        <f t="shared" si="1"/>
        <v>41592</v>
      </c>
      <c r="K22" t="str">
        <f t="shared" si="2"/>
        <v>Yes</v>
      </c>
      <c r="L22" t="str">
        <f t="shared" si="3"/>
        <v>No</v>
      </c>
      <c r="M22" t="str">
        <f t="shared" si="4"/>
        <v>No</v>
      </c>
      <c r="N22" t="str">
        <f t="shared" si="5"/>
        <v>Yes</v>
      </c>
      <c r="O22" t="str">
        <f t="shared" si="5"/>
        <v>No</v>
      </c>
      <c r="P22" t="str">
        <f t="shared" si="5"/>
        <v>No</v>
      </c>
      <c r="Q22" t="str">
        <f t="shared" si="5"/>
        <v>Yes</v>
      </c>
    </row>
    <row r="23" spans="1:17">
      <c r="A23">
        <v>241788</v>
      </c>
      <c r="B23" t="s">
        <v>1086</v>
      </c>
      <c r="C23" t="s">
        <v>1102</v>
      </c>
      <c r="D23" s="357">
        <v>40500</v>
      </c>
      <c r="E23" t="s">
        <v>1141</v>
      </c>
      <c r="F23">
        <v>125</v>
      </c>
      <c r="H23" t="s">
        <v>1142</v>
      </c>
      <c r="I23" t="s">
        <v>1143</v>
      </c>
      <c r="J23" s="357">
        <f t="shared" si="1"/>
        <v>41592</v>
      </c>
      <c r="K23" t="str">
        <f t="shared" si="2"/>
        <v>Yes</v>
      </c>
      <c r="L23" t="str">
        <f t="shared" si="3"/>
        <v>No</v>
      </c>
      <c r="M23" t="str">
        <f t="shared" si="4"/>
        <v>No</v>
      </c>
      <c r="N23" t="str">
        <f t="shared" si="5"/>
        <v>Yes</v>
      </c>
      <c r="O23" t="str">
        <f t="shared" si="5"/>
        <v>No</v>
      </c>
      <c r="P23" t="str">
        <f t="shared" si="5"/>
        <v>No</v>
      </c>
      <c r="Q23" t="str">
        <f t="shared" si="5"/>
        <v>Yes</v>
      </c>
    </row>
    <row r="24" spans="1:17">
      <c r="A24">
        <v>241025</v>
      </c>
      <c r="B24" t="s">
        <v>1112</v>
      </c>
      <c r="C24" t="s">
        <v>1115</v>
      </c>
      <c r="D24" s="357">
        <v>40500</v>
      </c>
      <c r="E24" t="s">
        <v>1144</v>
      </c>
      <c r="F24">
        <v>125</v>
      </c>
      <c r="H24" t="s">
        <v>1145</v>
      </c>
      <c r="I24" t="s">
        <v>1090</v>
      </c>
      <c r="J24" s="357">
        <f t="shared" si="1"/>
        <v>41592</v>
      </c>
      <c r="K24" t="str">
        <f t="shared" si="2"/>
        <v>Yes</v>
      </c>
      <c r="L24" t="str">
        <f t="shared" si="3"/>
        <v>No</v>
      </c>
      <c r="M24" t="str">
        <f t="shared" si="4"/>
        <v>No</v>
      </c>
      <c r="N24" t="str">
        <f t="shared" si="5"/>
        <v>Yes</v>
      </c>
      <c r="O24" t="str">
        <f t="shared" si="5"/>
        <v>No</v>
      </c>
      <c r="P24" t="str">
        <f t="shared" si="5"/>
        <v>No</v>
      </c>
      <c r="Q24" t="str">
        <f t="shared" si="5"/>
        <v>Yes</v>
      </c>
    </row>
    <row r="25" spans="1:17">
      <c r="A25">
        <v>240668</v>
      </c>
      <c r="B25" t="s">
        <v>1086</v>
      </c>
      <c r="C25" t="s">
        <v>1129</v>
      </c>
      <c r="D25" s="357">
        <v>40504</v>
      </c>
      <c r="E25" t="s">
        <v>1146</v>
      </c>
      <c r="F25">
        <v>125</v>
      </c>
      <c r="H25" t="s">
        <v>1147</v>
      </c>
      <c r="I25" t="s">
        <v>1148</v>
      </c>
      <c r="J25" s="357">
        <f t="shared" si="1"/>
        <v>41596</v>
      </c>
      <c r="K25" t="str">
        <f t="shared" si="2"/>
        <v>Yes</v>
      </c>
      <c r="L25" t="str">
        <f t="shared" si="3"/>
        <v>No</v>
      </c>
      <c r="M25" t="str">
        <f t="shared" si="4"/>
        <v>No</v>
      </c>
      <c r="N25" t="str">
        <f t="shared" si="5"/>
        <v>Yes</v>
      </c>
      <c r="O25" t="str">
        <f t="shared" si="5"/>
        <v>No</v>
      </c>
      <c r="P25" t="str">
        <f t="shared" si="5"/>
        <v>No</v>
      </c>
      <c r="Q25" t="str">
        <f t="shared" si="5"/>
        <v>Yes</v>
      </c>
    </row>
    <row r="26" spans="1:17">
      <c r="A26">
        <v>241720</v>
      </c>
      <c r="B26" t="s">
        <v>1086</v>
      </c>
      <c r="C26" t="s">
        <v>1102</v>
      </c>
      <c r="D26" s="357">
        <v>40504</v>
      </c>
      <c r="E26" t="s">
        <v>1146</v>
      </c>
      <c r="F26">
        <v>125</v>
      </c>
      <c r="H26" t="s">
        <v>1147</v>
      </c>
      <c r="I26" t="s">
        <v>1148</v>
      </c>
      <c r="J26" s="357">
        <f t="shared" si="1"/>
        <v>41596</v>
      </c>
      <c r="K26" t="str">
        <f t="shared" si="2"/>
        <v>Yes</v>
      </c>
      <c r="L26" t="str">
        <f t="shared" si="3"/>
        <v>No</v>
      </c>
      <c r="M26" t="str">
        <f t="shared" si="4"/>
        <v>No</v>
      </c>
      <c r="N26" t="str">
        <f t="shared" si="5"/>
        <v>Yes</v>
      </c>
      <c r="O26" t="str">
        <f t="shared" si="5"/>
        <v>No</v>
      </c>
      <c r="P26" t="str">
        <f t="shared" si="5"/>
        <v>No</v>
      </c>
      <c r="Q26" t="str">
        <f t="shared" si="5"/>
        <v>Yes</v>
      </c>
    </row>
    <row r="27" spans="1:17">
      <c r="A27">
        <v>241750</v>
      </c>
      <c r="B27" t="s">
        <v>1086</v>
      </c>
      <c r="C27" t="s">
        <v>1102</v>
      </c>
      <c r="D27" s="357">
        <v>40504</v>
      </c>
      <c r="E27" t="s">
        <v>1149</v>
      </c>
      <c r="F27">
        <v>125</v>
      </c>
      <c r="H27" t="s">
        <v>1150</v>
      </c>
      <c r="I27" t="s">
        <v>1151</v>
      </c>
      <c r="J27" s="357">
        <f t="shared" si="1"/>
        <v>41596</v>
      </c>
      <c r="K27" t="str">
        <f t="shared" si="2"/>
        <v>Yes</v>
      </c>
      <c r="L27" t="str">
        <f t="shared" si="3"/>
        <v>No</v>
      </c>
      <c r="M27" t="str">
        <f t="shared" si="4"/>
        <v>No</v>
      </c>
      <c r="N27" t="str">
        <f t="shared" si="5"/>
        <v>Yes</v>
      </c>
      <c r="O27" t="str">
        <f t="shared" si="5"/>
        <v>No</v>
      </c>
      <c r="P27" t="str">
        <f t="shared" si="5"/>
        <v>No</v>
      </c>
      <c r="Q27" t="str">
        <f t="shared" si="5"/>
        <v>Yes</v>
      </c>
    </row>
    <row r="28" spans="1:17">
      <c r="A28">
        <v>241748</v>
      </c>
      <c r="B28" t="s">
        <v>1086</v>
      </c>
      <c r="C28" t="s">
        <v>1102</v>
      </c>
      <c r="D28" s="357">
        <v>40504</v>
      </c>
      <c r="E28" t="s">
        <v>1149</v>
      </c>
      <c r="F28">
        <v>125</v>
      </c>
      <c r="H28" t="s">
        <v>1150</v>
      </c>
      <c r="I28" t="s">
        <v>1151</v>
      </c>
      <c r="J28" s="357">
        <f t="shared" si="1"/>
        <v>41596</v>
      </c>
      <c r="K28" t="str">
        <f t="shared" si="2"/>
        <v>Yes</v>
      </c>
      <c r="L28" t="str">
        <f t="shared" si="3"/>
        <v>No</v>
      </c>
      <c r="M28" t="str">
        <f t="shared" si="4"/>
        <v>No</v>
      </c>
      <c r="N28" t="str">
        <f t="shared" si="5"/>
        <v>Yes</v>
      </c>
      <c r="O28" t="str">
        <f t="shared" si="5"/>
        <v>No</v>
      </c>
      <c r="P28" t="str">
        <f t="shared" si="5"/>
        <v>No</v>
      </c>
      <c r="Q28" t="str">
        <f t="shared" si="5"/>
        <v>Yes</v>
      </c>
    </row>
    <row r="29" spans="1:17">
      <c r="A29">
        <v>241426</v>
      </c>
      <c r="B29" t="s">
        <v>1086</v>
      </c>
      <c r="C29" t="s">
        <v>1087</v>
      </c>
      <c r="D29" s="357">
        <v>40505</v>
      </c>
      <c r="E29" t="s">
        <v>1152</v>
      </c>
      <c r="F29">
        <v>125</v>
      </c>
      <c r="H29" t="s">
        <v>1153</v>
      </c>
      <c r="I29" t="s">
        <v>1154</v>
      </c>
      <c r="J29" s="357">
        <f t="shared" si="1"/>
        <v>41597</v>
      </c>
      <c r="K29" t="str">
        <f t="shared" si="2"/>
        <v>Yes</v>
      </c>
      <c r="L29" t="str">
        <f t="shared" si="3"/>
        <v>No</v>
      </c>
      <c r="M29" t="str">
        <f t="shared" si="4"/>
        <v>No</v>
      </c>
      <c r="N29" t="str">
        <f t="shared" si="5"/>
        <v>Yes</v>
      </c>
      <c r="O29" t="str">
        <f t="shared" si="5"/>
        <v>No</v>
      </c>
      <c r="P29" t="str">
        <f t="shared" si="5"/>
        <v>No</v>
      </c>
      <c r="Q29" t="str">
        <f t="shared" si="5"/>
        <v>Yes</v>
      </c>
    </row>
    <row r="30" spans="1:17">
      <c r="A30">
        <v>241718</v>
      </c>
      <c r="B30" t="s">
        <v>1086</v>
      </c>
      <c r="C30" t="s">
        <v>1102</v>
      </c>
      <c r="D30" s="357">
        <v>40505</v>
      </c>
      <c r="E30" t="s">
        <v>1152</v>
      </c>
      <c r="F30">
        <v>125</v>
      </c>
      <c r="H30" t="s">
        <v>1155</v>
      </c>
      <c r="I30" t="s">
        <v>1154</v>
      </c>
      <c r="J30" s="357">
        <f t="shared" si="1"/>
        <v>41597</v>
      </c>
      <c r="K30" t="str">
        <f t="shared" si="2"/>
        <v>Yes</v>
      </c>
      <c r="L30" t="str">
        <f t="shared" si="3"/>
        <v>No</v>
      </c>
      <c r="M30" t="str">
        <f t="shared" si="4"/>
        <v>No</v>
      </c>
      <c r="N30" t="str">
        <f t="shared" si="5"/>
        <v>Yes</v>
      </c>
      <c r="O30" t="str">
        <f t="shared" si="5"/>
        <v>No</v>
      </c>
      <c r="P30" t="str">
        <f t="shared" si="5"/>
        <v>No</v>
      </c>
      <c r="Q30" t="str">
        <f t="shared" si="5"/>
        <v>Yes</v>
      </c>
    </row>
    <row r="31" spans="1:17">
      <c r="A31">
        <v>241716</v>
      </c>
      <c r="B31" t="s">
        <v>1086</v>
      </c>
      <c r="C31" t="s">
        <v>1102</v>
      </c>
      <c r="D31" s="357">
        <v>40505</v>
      </c>
      <c r="E31" t="s">
        <v>1156</v>
      </c>
      <c r="F31">
        <v>125</v>
      </c>
      <c r="H31" t="s">
        <v>1157</v>
      </c>
      <c r="I31" t="s">
        <v>1158</v>
      </c>
      <c r="J31" s="357">
        <f t="shared" si="1"/>
        <v>41597</v>
      </c>
      <c r="K31" t="str">
        <f t="shared" si="2"/>
        <v>Yes</v>
      </c>
      <c r="L31" t="str">
        <f t="shared" si="3"/>
        <v>No</v>
      </c>
      <c r="M31" t="str">
        <f t="shared" si="4"/>
        <v>No</v>
      </c>
      <c r="N31" t="str">
        <f t="shared" si="5"/>
        <v>Yes</v>
      </c>
      <c r="O31" t="str">
        <f t="shared" si="5"/>
        <v>No</v>
      </c>
      <c r="P31" t="str">
        <f t="shared" si="5"/>
        <v>No</v>
      </c>
      <c r="Q31" t="str">
        <f t="shared" si="5"/>
        <v>Yes</v>
      </c>
    </row>
    <row r="32" spans="1:17">
      <c r="A32">
        <v>241793</v>
      </c>
      <c r="B32" t="s">
        <v>1086</v>
      </c>
      <c r="C32" t="s">
        <v>1102</v>
      </c>
      <c r="D32" s="357">
        <v>40505</v>
      </c>
      <c r="E32" t="s">
        <v>1159</v>
      </c>
      <c r="F32">
        <v>125</v>
      </c>
      <c r="H32" t="s">
        <v>1160</v>
      </c>
      <c r="I32" t="s">
        <v>1154</v>
      </c>
      <c r="J32" s="357">
        <f t="shared" si="1"/>
        <v>41597</v>
      </c>
      <c r="K32" t="str">
        <f t="shared" si="2"/>
        <v>Yes</v>
      </c>
      <c r="L32" t="str">
        <f t="shared" si="3"/>
        <v>No</v>
      </c>
      <c r="M32" t="str">
        <f t="shared" si="4"/>
        <v>No</v>
      </c>
      <c r="N32" t="str">
        <f t="shared" si="5"/>
        <v>Yes</v>
      </c>
      <c r="O32" t="str">
        <f t="shared" si="5"/>
        <v>No</v>
      </c>
      <c r="P32" t="str">
        <f t="shared" si="5"/>
        <v>No</v>
      </c>
      <c r="Q32" t="str">
        <f t="shared" si="5"/>
        <v>Yes</v>
      </c>
    </row>
    <row r="33" spans="1:17">
      <c r="A33">
        <v>241433</v>
      </c>
      <c r="B33" t="s">
        <v>1086</v>
      </c>
      <c r="C33" t="s">
        <v>1087</v>
      </c>
      <c r="D33" s="357">
        <v>40505</v>
      </c>
      <c r="E33" t="s">
        <v>1161</v>
      </c>
      <c r="F33">
        <v>125</v>
      </c>
      <c r="H33" t="s">
        <v>1157</v>
      </c>
      <c r="I33" t="s">
        <v>1158</v>
      </c>
      <c r="J33" s="357">
        <f t="shared" si="1"/>
        <v>41597</v>
      </c>
      <c r="K33" t="str">
        <f t="shared" si="2"/>
        <v>Yes</v>
      </c>
      <c r="L33" t="str">
        <f t="shared" si="3"/>
        <v>No</v>
      </c>
      <c r="M33" t="str">
        <f t="shared" si="4"/>
        <v>No</v>
      </c>
      <c r="N33" t="str">
        <f t="shared" si="5"/>
        <v>Yes</v>
      </c>
      <c r="O33" t="str">
        <f t="shared" si="5"/>
        <v>No</v>
      </c>
      <c r="P33" t="str">
        <f t="shared" si="5"/>
        <v>No</v>
      </c>
      <c r="Q33" t="str">
        <f t="shared" si="5"/>
        <v>Yes</v>
      </c>
    </row>
    <row r="34" spans="1:17">
      <c r="A34">
        <v>241429</v>
      </c>
      <c r="B34" t="s">
        <v>1086</v>
      </c>
      <c r="C34" t="s">
        <v>1087</v>
      </c>
      <c r="D34" s="357">
        <v>40505</v>
      </c>
      <c r="E34" t="s">
        <v>1162</v>
      </c>
      <c r="F34">
        <v>125</v>
      </c>
      <c r="H34" t="s">
        <v>1163</v>
      </c>
      <c r="I34" t="s">
        <v>1158</v>
      </c>
      <c r="J34" s="357">
        <f t="shared" si="1"/>
        <v>41597</v>
      </c>
      <c r="K34" t="str">
        <f t="shared" si="2"/>
        <v>Yes</v>
      </c>
      <c r="L34" t="str">
        <f t="shared" si="3"/>
        <v>No</v>
      </c>
      <c r="M34" t="str">
        <f t="shared" si="4"/>
        <v>No</v>
      </c>
      <c r="N34" t="str">
        <f t="shared" si="5"/>
        <v>Yes</v>
      </c>
      <c r="O34" t="str">
        <f t="shared" si="5"/>
        <v>No</v>
      </c>
      <c r="P34" t="str">
        <f t="shared" si="5"/>
        <v>No</v>
      </c>
      <c r="Q34" t="str">
        <f t="shared" si="5"/>
        <v>Yes</v>
      </c>
    </row>
    <row r="35" spans="1:17">
      <c r="A35">
        <v>241722</v>
      </c>
      <c r="B35" t="s">
        <v>1086</v>
      </c>
      <c r="C35" t="s">
        <v>1102</v>
      </c>
      <c r="D35" s="357">
        <v>40505</v>
      </c>
      <c r="E35" t="s">
        <v>1164</v>
      </c>
      <c r="F35">
        <v>125</v>
      </c>
      <c r="H35" t="s">
        <v>1165</v>
      </c>
      <c r="I35" t="s">
        <v>1154</v>
      </c>
      <c r="J35" s="357">
        <f t="shared" si="1"/>
        <v>41597</v>
      </c>
      <c r="K35" t="str">
        <f t="shared" si="2"/>
        <v>Yes</v>
      </c>
      <c r="L35" t="str">
        <f t="shared" si="3"/>
        <v>No</v>
      </c>
      <c r="M35" t="str">
        <f t="shared" si="4"/>
        <v>No</v>
      </c>
      <c r="N35" t="str">
        <f t="shared" si="5"/>
        <v>Yes</v>
      </c>
      <c r="O35" t="str">
        <f t="shared" si="5"/>
        <v>No</v>
      </c>
      <c r="P35" t="str">
        <f t="shared" si="5"/>
        <v>No</v>
      </c>
      <c r="Q35" t="str">
        <f t="shared" si="5"/>
        <v>Yes</v>
      </c>
    </row>
    <row r="36" spans="1:17">
      <c r="A36">
        <v>241529</v>
      </c>
      <c r="B36" t="s">
        <v>1086</v>
      </c>
      <c r="C36" t="s">
        <v>1166</v>
      </c>
      <c r="D36" s="357">
        <v>40505</v>
      </c>
      <c r="E36" t="s">
        <v>1167</v>
      </c>
      <c r="F36">
        <v>125</v>
      </c>
      <c r="H36" t="s">
        <v>1168</v>
      </c>
      <c r="I36" t="s">
        <v>1169</v>
      </c>
      <c r="J36" s="357">
        <f t="shared" si="1"/>
        <v>41597</v>
      </c>
      <c r="K36" t="str">
        <f t="shared" si="2"/>
        <v>Yes</v>
      </c>
      <c r="L36" t="str">
        <f t="shared" si="3"/>
        <v>No</v>
      </c>
      <c r="M36" t="str">
        <f t="shared" si="4"/>
        <v>No</v>
      </c>
      <c r="N36" t="str">
        <f t="shared" si="5"/>
        <v>Yes</v>
      </c>
      <c r="O36" t="str">
        <f t="shared" si="5"/>
        <v>No</v>
      </c>
      <c r="P36" t="str">
        <f t="shared" si="5"/>
        <v>No</v>
      </c>
      <c r="Q36" t="str">
        <f t="shared" si="5"/>
        <v>Yes</v>
      </c>
    </row>
    <row r="37" spans="1:17">
      <c r="A37">
        <v>241721</v>
      </c>
      <c r="B37" t="s">
        <v>1086</v>
      </c>
      <c r="C37" t="s">
        <v>1102</v>
      </c>
      <c r="D37" s="357">
        <v>40505</v>
      </c>
      <c r="E37" t="s">
        <v>1170</v>
      </c>
      <c r="F37">
        <v>125</v>
      </c>
      <c r="H37" t="s">
        <v>1171</v>
      </c>
      <c r="I37" t="s">
        <v>1169</v>
      </c>
      <c r="J37" s="357">
        <f t="shared" si="1"/>
        <v>41597</v>
      </c>
      <c r="K37" t="str">
        <f t="shared" si="2"/>
        <v>Yes</v>
      </c>
      <c r="L37" t="str">
        <f t="shared" si="3"/>
        <v>No</v>
      </c>
      <c r="M37" t="str">
        <f t="shared" si="4"/>
        <v>No</v>
      </c>
      <c r="N37" t="str">
        <f t="shared" si="5"/>
        <v>Yes</v>
      </c>
      <c r="O37" t="str">
        <f t="shared" si="5"/>
        <v>No</v>
      </c>
      <c r="P37" t="str">
        <f t="shared" si="5"/>
        <v>No</v>
      </c>
      <c r="Q37" t="str">
        <f t="shared" si="5"/>
        <v>Yes</v>
      </c>
    </row>
    <row r="38" spans="1:17">
      <c r="A38">
        <v>241272</v>
      </c>
      <c r="B38" t="s">
        <v>1086</v>
      </c>
      <c r="C38" t="s">
        <v>1172</v>
      </c>
      <c r="D38" s="357">
        <v>40518</v>
      </c>
      <c r="E38" t="s">
        <v>1152</v>
      </c>
      <c r="F38">
        <v>125</v>
      </c>
      <c r="H38" t="s">
        <v>1171</v>
      </c>
      <c r="I38" t="s">
        <v>1173</v>
      </c>
      <c r="J38" s="357">
        <f t="shared" si="1"/>
        <v>41610</v>
      </c>
      <c r="K38" t="str">
        <f t="shared" si="2"/>
        <v>Yes</v>
      </c>
      <c r="L38" t="str">
        <f t="shared" si="3"/>
        <v>No</v>
      </c>
      <c r="M38" t="str">
        <f t="shared" si="4"/>
        <v>No</v>
      </c>
      <c r="N38" t="str">
        <f t="shared" si="5"/>
        <v>Yes</v>
      </c>
      <c r="O38" t="str">
        <f t="shared" si="5"/>
        <v>No</v>
      </c>
      <c r="P38" t="str">
        <f t="shared" si="5"/>
        <v>No</v>
      </c>
      <c r="Q38" t="str">
        <f t="shared" si="5"/>
        <v>Yes</v>
      </c>
    </row>
    <row r="39" spans="1:17">
      <c r="A39">
        <v>240516</v>
      </c>
      <c r="B39" t="s">
        <v>1086</v>
      </c>
      <c r="C39" t="s">
        <v>1172</v>
      </c>
      <c r="D39" s="357">
        <v>40518</v>
      </c>
      <c r="E39" t="s">
        <v>1174</v>
      </c>
      <c r="F39">
        <v>125</v>
      </c>
      <c r="H39" t="s">
        <v>1175</v>
      </c>
      <c r="I39" t="s">
        <v>1176</v>
      </c>
      <c r="J39" s="357">
        <f t="shared" si="1"/>
        <v>41610</v>
      </c>
      <c r="K39" t="str">
        <f t="shared" si="2"/>
        <v>Yes</v>
      </c>
      <c r="L39" t="str">
        <f t="shared" si="3"/>
        <v>No</v>
      </c>
      <c r="M39" t="str">
        <f t="shared" si="4"/>
        <v>No</v>
      </c>
      <c r="N39" t="str">
        <f t="shared" si="5"/>
        <v>Yes</v>
      </c>
      <c r="O39" t="str">
        <f t="shared" si="5"/>
        <v>No</v>
      </c>
      <c r="P39" t="str">
        <f t="shared" si="5"/>
        <v>No</v>
      </c>
      <c r="Q39" t="str">
        <f t="shared" si="5"/>
        <v>Yes</v>
      </c>
    </row>
    <row r="40" spans="1:17">
      <c r="A40">
        <v>240515</v>
      </c>
      <c r="B40" t="s">
        <v>1086</v>
      </c>
      <c r="C40" t="s">
        <v>1172</v>
      </c>
      <c r="D40" s="357">
        <v>40518</v>
      </c>
      <c r="E40" t="s">
        <v>1174</v>
      </c>
      <c r="F40">
        <v>125</v>
      </c>
      <c r="H40" t="s">
        <v>1175</v>
      </c>
      <c r="I40" t="s">
        <v>1154</v>
      </c>
      <c r="J40" s="357">
        <f t="shared" si="1"/>
        <v>41610</v>
      </c>
      <c r="K40" t="str">
        <f t="shared" si="2"/>
        <v>Yes</v>
      </c>
      <c r="L40" t="str">
        <f t="shared" si="3"/>
        <v>No</v>
      </c>
      <c r="M40" t="str">
        <f t="shared" si="4"/>
        <v>No</v>
      </c>
      <c r="N40" t="str">
        <f t="shared" si="5"/>
        <v>Yes</v>
      </c>
      <c r="O40" t="str">
        <f t="shared" si="5"/>
        <v>No</v>
      </c>
      <c r="P40" t="str">
        <f t="shared" si="5"/>
        <v>No</v>
      </c>
      <c r="Q40" t="str">
        <f t="shared" si="5"/>
        <v>Yes</v>
      </c>
    </row>
    <row r="41" spans="1:17">
      <c r="A41">
        <v>240511</v>
      </c>
      <c r="B41" t="s">
        <v>1086</v>
      </c>
      <c r="C41" t="s">
        <v>1172</v>
      </c>
      <c r="D41" s="357">
        <v>40518</v>
      </c>
      <c r="E41" t="s">
        <v>1152</v>
      </c>
      <c r="F41">
        <v>125</v>
      </c>
      <c r="H41" t="s">
        <v>1171</v>
      </c>
      <c r="I41" t="s">
        <v>1173</v>
      </c>
      <c r="J41" s="357">
        <f t="shared" si="1"/>
        <v>41610</v>
      </c>
      <c r="K41" t="str">
        <f>IF(D41+1095&lt;=$K$1,"Yes","No")</f>
        <v>Yes</v>
      </c>
      <c r="L41" t="str">
        <f t="shared" si="3"/>
        <v>No</v>
      </c>
      <c r="M41" t="str">
        <f t="shared" si="4"/>
        <v>No</v>
      </c>
      <c r="N41" t="str">
        <f t="shared" si="5"/>
        <v>Yes</v>
      </c>
      <c r="O41" t="str">
        <f t="shared" si="5"/>
        <v>No</v>
      </c>
      <c r="P41" t="str">
        <f t="shared" si="5"/>
        <v>No</v>
      </c>
      <c r="Q41" t="str">
        <f t="shared" si="5"/>
        <v>Yes</v>
      </c>
    </row>
    <row r="42" spans="1:17">
      <c r="A42">
        <v>240509</v>
      </c>
      <c r="B42" t="s">
        <v>1086</v>
      </c>
      <c r="C42" t="s">
        <v>1172</v>
      </c>
      <c r="D42" s="357">
        <v>40518</v>
      </c>
      <c r="E42" t="s">
        <v>1152</v>
      </c>
      <c r="F42">
        <v>125</v>
      </c>
      <c r="H42" t="s">
        <v>1171</v>
      </c>
      <c r="I42" t="s">
        <v>1173</v>
      </c>
      <c r="J42" s="357">
        <f t="shared" si="1"/>
        <v>41610</v>
      </c>
      <c r="K42" t="str">
        <f t="shared" si="2"/>
        <v>Yes</v>
      </c>
      <c r="L42" t="str">
        <f t="shared" si="3"/>
        <v>No</v>
      </c>
      <c r="M42" t="str">
        <f t="shared" si="4"/>
        <v>No</v>
      </c>
      <c r="N42" t="str">
        <f t="shared" si="5"/>
        <v>Yes</v>
      </c>
      <c r="O42" t="str">
        <f t="shared" si="5"/>
        <v>No</v>
      </c>
      <c r="P42" t="str">
        <f t="shared" si="5"/>
        <v>No</v>
      </c>
      <c r="Q42" t="str">
        <f t="shared" si="5"/>
        <v>Yes</v>
      </c>
    </row>
    <row r="43" spans="1:17">
      <c r="A43">
        <v>240504</v>
      </c>
      <c r="B43" t="s">
        <v>1086</v>
      </c>
      <c r="C43" t="s">
        <v>1172</v>
      </c>
      <c r="D43" s="357">
        <v>40518</v>
      </c>
      <c r="E43" t="s">
        <v>1174</v>
      </c>
      <c r="F43">
        <v>125</v>
      </c>
      <c r="H43" t="s">
        <v>1175</v>
      </c>
      <c r="I43" t="s">
        <v>1176</v>
      </c>
      <c r="J43" s="357">
        <f t="shared" si="1"/>
        <v>41610</v>
      </c>
      <c r="K43" t="str">
        <f t="shared" si="2"/>
        <v>Yes</v>
      </c>
      <c r="L43" t="str">
        <f t="shared" si="3"/>
        <v>No</v>
      </c>
      <c r="M43" t="str">
        <f t="shared" si="4"/>
        <v>No</v>
      </c>
      <c r="N43" t="str">
        <f t="shared" si="5"/>
        <v>Yes</v>
      </c>
      <c r="O43" t="str">
        <f t="shared" si="5"/>
        <v>No</v>
      </c>
      <c r="P43" t="str">
        <f t="shared" si="5"/>
        <v>No</v>
      </c>
      <c r="Q43" t="str">
        <f t="shared" si="5"/>
        <v>Yes</v>
      </c>
    </row>
    <row r="44" spans="1:17">
      <c r="A44">
        <v>240506</v>
      </c>
      <c r="B44" t="s">
        <v>1086</v>
      </c>
      <c r="C44" t="s">
        <v>1172</v>
      </c>
      <c r="D44" s="357">
        <v>40518</v>
      </c>
      <c r="E44" t="s">
        <v>1174</v>
      </c>
      <c r="F44">
        <v>125</v>
      </c>
      <c r="H44" t="s">
        <v>1175</v>
      </c>
      <c r="I44" t="s">
        <v>1176</v>
      </c>
      <c r="J44" s="357">
        <f t="shared" si="1"/>
        <v>41610</v>
      </c>
      <c r="K44" t="str">
        <f t="shared" si="2"/>
        <v>Yes</v>
      </c>
      <c r="L44" t="str">
        <f t="shared" si="3"/>
        <v>No</v>
      </c>
      <c r="M44" t="str">
        <f t="shared" si="4"/>
        <v>No</v>
      </c>
      <c r="N44" t="str">
        <f t="shared" si="5"/>
        <v>Yes</v>
      </c>
      <c r="O44" t="str">
        <f t="shared" si="5"/>
        <v>No</v>
      </c>
      <c r="P44" t="str">
        <f t="shared" si="5"/>
        <v>No</v>
      </c>
      <c r="Q44" t="str">
        <f t="shared" si="5"/>
        <v>Yes</v>
      </c>
    </row>
    <row r="45" spans="1:17">
      <c r="A45">
        <v>240495</v>
      </c>
      <c r="B45" t="s">
        <v>1086</v>
      </c>
      <c r="C45" t="s">
        <v>1172</v>
      </c>
      <c r="D45" s="357">
        <v>40518</v>
      </c>
      <c r="E45" t="s">
        <v>1177</v>
      </c>
      <c r="F45">
        <v>125</v>
      </c>
      <c r="H45" t="s">
        <v>1178</v>
      </c>
      <c r="I45" t="s">
        <v>280</v>
      </c>
      <c r="J45" s="357">
        <f t="shared" si="1"/>
        <v>41610</v>
      </c>
      <c r="K45" t="str">
        <f t="shared" si="2"/>
        <v>Yes</v>
      </c>
      <c r="L45" t="str">
        <f t="shared" si="3"/>
        <v>No</v>
      </c>
      <c r="M45" t="str">
        <f t="shared" si="4"/>
        <v>No</v>
      </c>
      <c r="N45" t="str">
        <f t="shared" si="5"/>
        <v>Yes</v>
      </c>
      <c r="O45" t="str">
        <f t="shared" si="5"/>
        <v>No</v>
      </c>
      <c r="P45" t="str">
        <f t="shared" si="5"/>
        <v>No</v>
      </c>
      <c r="Q45" t="str">
        <f t="shared" si="5"/>
        <v>Yes</v>
      </c>
    </row>
    <row r="46" spans="1:17">
      <c r="A46">
        <v>241744</v>
      </c>
      <c r="B46" t="s">
        <v>1112</v>
      </c>
      <c r="C46" t="s">
        <v>1179</v>
      </c>
      <c r="D46" s="357">
        <v>40532</v>
      </c>
      <c r="E46" t="s">
        <v>1180</v>
      </c>
      <c r="F46">
        <v>125</v>
      </c>
      <c r="H46" t="s">
        <v>1181</v>
      </c>
      <c r="I46" t="s">
        <v>280</v>
      </c>
      <c r="J46" s="357">
        <f t="shared" si="1"/>
        <v>41624</v>
      </c>
      <c r="K46" t="str">
        <f t="shared" si="2"/>
        <v>Yes</v>
      </c>
      <c r="L46" t="str">
        <f t="shared" si="3"/>
        <v>No</v>
      </c>
      <c r="M46" t="str">
        <f t="shared" si="4"/>
        <v>No</v>
      </c>
      <c r="N46" t="str">
        <f t="shared" si="5"/>
        <v>Yes</v>
      </c>
      <c r="O46" t="str">
        <f t="shared" si="5"/>
        <v>No</v>
      </c>
      <c r="P46" t="str">
        <f t="shared" si="5"/>
        <v>No</v>
      </c>
      <c r="Q46" t="str">
        <f t="shared" si="5"/>
        <v>Yes</v>
      </c>
    </row>
    <row r="47" spans="1:17">
      <c r="A47">
        <v>241275</v>
      </c>
      <c r="B47" t="s">
        <v>1112</v>
      </c>
      <c r="C47" t="s">
        <v>1113</v>
      </c>
      <c r="D47" s="357">
        <v>40532</v>
      </c>
      <c r="E47" t="s">
        <v>1182</v>
      </c>
      <c r="F47">
        <v>125</v>
      </c>
      <c r="H47" t="s">
        <v>1183</v>
      </c>
      <c r="I47" t="s">
        <v>1128</v>
      </c>
      <c r="J47" s="357">
        <f t="shared" si="1"/>
        <v>41624</v>
      </c>
      <c r="K47" t="str">
        <f t="shared" si="2"/>
        <v>Yes</v>
      </c>
      <c r="L47" t="str">
        <f t="shared" si="3"/>
        <v>No</v>
      </c>
      <c r="M47" t="str">
        <f t="shared" si="4"/>
        <v>No</v>
      </c>
      <c r="N47" t="str">
        <f t="shared" si="5"/>
        <v>Yes</v>
      </c>
      <c r="O47" t="str">
        <f t="shared" si="5"/>
        <v>No</v>
      </c>
      <c r="P47" t="str">
        <f t="shared" si="5"/>
        <v>No</v>
      </c>
      <c r="Q47" t="str">
        <f t="shared" si="5"/>
        <v>Yes</v>
      </c>
    </row>
    <row r="48" spans="1:17">
      <c r="A48">
        <v>241719</v>
      </c>
      <c r="B48" t="s">
        <v>1086</v>
      </c>
      <c r="C48" t="s">
        <v>1102</v>
      </c>
      <c r="D48" s="357">
        <v>40532</v>
      </c>
      <c r="E48" t="s">
        <v>1182</v>
      </c>
      <c r="F48">
        <v>125</v>
      </c>
      <c r="H48" t="s">
        <v>1183</v>
      </c>
      <c r="I48" t="s">
        <v>1128</v>
      </c>
      <c r="J48" s="357">
        <f t="shared" si="1"/>
        <v>41624</v>
      </c>
      <c r="K48" t="str">
        <f t="shared" si="2"/>
        <v>Yes</v>
      </c>
      <c r="L48" t="str">
        <f t="shared" si="3"/>
        <v>No</v>
      </c>
      <c r="M48" t="str">
        <f t="shared" si="4"/>
        <v>No</v>
      </c>
      <c r="N48" t="str">
        <f t="shared" si="5"/>
        <v>Yes</v>
      </c>
      <c r="O48" t="str">
        <f t="shared" si="5"/>
        <v>No</v>
      </c>
      <c r="P48" t="str">
        <f t="shared" si="5"/>
        <v>No</v>
      </c>
      <c r="Q48" t="str">
        <f t="shared" si="5"/>
        <v>Yes</v>
      </c>
    </row>
    <row r="49" spans="1:17">
      <c r="A49">
        <v>241747</v>
      </c>
      <c r="B49" t="s">
        <v>1112</v>
      </c>
      <c r="C49" t="s">
        <v>1184</v>
      </c>
      <c r="D49" s="357">
        <v>40532</v>
      </c>
      <c r="E49" t="s">
        <v>1114</v>
      </c>
      <c r="F49">
        <v>125</v>
      </c>
      <c r="H49" t="s">
        <v>1104</v>
      </c>
      <c r="I49" t="s">
        <v>1105</v>
      </c>
      <c r="J49" s="357">
        <f t="shared" si="1"/>
        <v>41624</v>
      </c>
      <c r="K49" t="str">
        <f t="shared" si="2"/>
        <v>Yes</v>
      </c>
      <c r="L49" t="str">
        <f t="shared" si="3"/>
        <v>No</v>
      </c>
      <c r="M49" t="str">
        <f t="shared" si="4"/>
        <v>No</v>
      </c>
      <c r="N49" t="str">
        <f t="shared" si="5"/>
        <v>Yes</v>
      </c>
      <c r="O49" t="str">
        <f t="shared" si="5"/>
        <v>No</v>
      </c>
      <c r="P49" t="str">
        <f t="shared" si="5"/>
        <v>No</v>
      </c>
      <c r="Q49" t="str">
        <f t="shared" si="5"/>
        <v>Yes</v>
      </c>
    </row>
    <row r="50" spans="1:17">
      <c r="A50">
        <v>240883</v>
      </c>
      <c r="B50" t="s">
        <v>1112</v>
      </c>
      <c r="C50" t="s">
        <v>1185</v>
      </c>
      <c r="D50" s="357">
        <v>40532</v>
      </c>
      <c r="E50" t="s">
        <v>1186</v>
      </c>
      <c r="F50">
        <v>125</v>
      </c>
      <c r="H50" t="s">
        <v>1136</v>
      </c>
      <c r="I50" t="s">
        <v>1137</v>
      </c>
      <c r="J50" s="357">
        <f t="shared" si="1"/>
        <v>41624</v>
      </c>
      <c r="K50" t="str">
        <f t="shared" si="2"/>
        <v>Yes</v>
      </c>
      <c r="L50" t="str">
        <f t="shared" si="3"/>
        <v>No</v>
      </c>
      <c r="M50" t="str">
        <f t="shared" si="4"/>
        <v>No</v>
      </c>
      <c r="N50" t="str">
        <f t="shared" si="5"/>
        <v>Yes</v>
      </c>
      <c r="O50" t="str">
        <f t="shared" si="5"/>
        <v>No</v>
      </c>
      <c r="P50" t="str">
        <f t="shared" si="5"/>
        <v>No</v>
      </c>
      <c r="Q50" t="str">
        <f t="shared" si="5"/>
        <v>Yes</v>
      </c>
    </row>
    <row r="51" spans="1:17">
      <c r="A51">
        <v>241714</v>
      </c>
      <c r="B51" t="s">
        <v>1086</v>
      </c>
      <c r="C51" t="s">
        <v>1102</v>
      </c>
      <c r="D51" s="357">
        <v>40532</v>
      </c>
      <c r="E51" t="s">
        <v>1187</v>
      </c>
      <c r="F51">
        <v>125</v>
      </c>
      <c r="H51" t="s">
        <v>1188</v>
      </c>
      <c r="I51" t="s">
        <v>1189</v>
      </c>
      <c r="J51" s="357">
        <f t="shared" si="1"/>
        <v>41624</v>
      </c>
      <c r="K51" t="str">
        <f t="shared" si="2"/>
        <v>Yes</v>
      </c>
      <c r="L51" t="str">
        <f t="shared" si="3"/>
        <v>No</v>
      </c>
      <c r="M51" t="str">
        <f t="shared" si="4"/>
        <v>No</v>
      </c>
      <c r="N51" t="str">
        <f t="shared" si="5"/>
        <v>Yes</v>
      </c>
      <c r="O51" t="str">
        <f t="shared" si="5"/>
        <v>No</v>
      </c>
      <c r="P51" t="str">
        <f t="shared" si="5"/>
        <v>No</v>
      </c>
      <c r="Q51" t="str">
        <f t="shared" si="5"/>
        <v>Yes</v>
      </c>
    </row>
    <row r="52" spans="1:17">
      <c r="A52">
        <v>241725</v>
      </c>
      <c r="B52" t="s">
        <v>1086</v>
      </c>
      <c r="C52" t="s">
        <v>1102</v>
      </c>
      <c r="D52" s="357">
        <v>40532</v>
      </c>
      <c r="E52" t="s">
        <v>1190</v>
      </c>
      <c r="F52">
        <v>125</v>
      </c>
      <c r="H52" t="s">
        <v>1191</v>
      </c>
      <c r="I52" t="s">
        <v>1190</v>
      </c>
      <c r="J52" s="357">
        <f t="shared" si="1"/>
        <v>41624</v>
      </c>
      <c r="K52" t="str">
        <f t="shared" si="2"/>
        <v>Yes</v>
      </c>
      <c r="L52" t="str">
        <f t="shared" si="3"/>
        <v>No</v>
      </c>
      <c r="M52" t="str">
        <f t="shared" si="4"/>
        <v>No</v>
      </c>
      <c r="N52" t="str">
        <f t="shared" si="5"/>
        <v>Yes</v>
      </c>
      <c r="O52" t="str">
        <f t="shared" si="5"/>
        <v>No</v>
      </c>
      <c r="P52" t="str">
        <f t="shared" si="5"/>
        <v>No</v>
      </c>
      <c r="Q52" t="str">
        <f t="shared" si="5"/>
        <v>Yes</v>
      </c>
    </row>
    <row r="53" spans="1:17">
      <c r="A53">
        <v>241595</v>
      </c>
      <c r="B53" t="s">
        <v>1112</v>
      </c>
      <c r="C53" t="s">
        <v>1192</v>
      </c>
      <c r="D53" s="357">
        <v>40570</v>
      </c>
      <c r="E53" t="s">
        <v>1193</v>
      </c>
      <c r="F53">
        <v>125</v>
      </c>
      <c r="H53" t="s">
        <v>1194</v>
      </c>
      <c r="I53" t="s">
        <v>1195</v>
      </c>
      <c r="J53" s="357">
        <f t="shared" si="1"/>
        <v>41662</v>
      </c>
      <c r="K53" t="str">
        <f t="shared" si="2"/>
        <v>Yes</v>
      </c>
      <c r="L53" t="str">
        <f t="shared" si="3"/>
        <v>No</v>
      </c>
      <c r="M53" t="str">
        <f t="shared" si="4"/>
        <v>No</v>
      </c>
      <c r="N53" t="str">
        <f t="shared" si="5"/>
        <v>Yes</v>
      </c>
      <c r="O53" t="str">
        <f t="shared" si="5"/>
        <v>No</v>
      </c>
      <c r="P53" t="str">
        <f t="shared" si="5"/>
        <v>No</v>
      </c>
      <c r="Q53" t="str">
        <f t="shared" si="5"/>
        <v>Yes</v>
      </c>
    </row>
    <row r="54" spans="1:17">
      <c r="A54">
        <v>241723</v>
      </c>
      <c r="B54" t="s">
        <v>1086</v>
      </c>
      <c r="C54" t="s">
        <v>1102</v>
      </c>
      <c r="D54" s="357">
        <v>40575</v>
      </c>
      <c r="E54" t="s">
        <v>1093</v>
      </c>
      <c r="F54">
        <v>125</v>
      </c>
      <c r="H54" t="s">
        <v>1094</v>
      </c>
      <c r="I54" t="s">
        <v>1095</v>
      </c>
      <c r="J54" s="357">
        <f t="shared" si="1"/>
        <v>41667</v>
      </c>
      <c r="K54" t="str">
        <f t="shared" si="2"/>
        <v>Yes</v>
      </c>
      <c r="L54" t="str">
        <f t="shared" si="3"/>
        <v>No</v>
      </c>
      <c r="M54" t="str">
        <f t="shared" si="4"/>
        <v>No</v>
      </c>
      <c r="N54" t="str">
        <f t="shared" si="5"/>
        <v>Yes</v>
      </c>
      <c r="O54" t="str">
        <f t="shared" si="5"/>
        <v>No</v>
      </c>
      <c r="P54" t="str">
        <f t="shared" si="5"/>
        <v>No</v>
      </c>
      <c r="Q54" t="str">
        <f t="shared" si="5"/>
        <v>Yes</v>
      </c>
    </row>
    <row r="55" spans="1:17">
      <c r="A55">
        <v>241431</v>
      </c>
      <c r="B55" t="s">
        <v>1086</v>
      </c>
      <c r="C55" t="s">
        <v>1087</v>
      </c>
      <c r="D55" s="357">
        <v>40576</v>
      </c>
      <c r="E55" t="s">
        <v>1196</v>
      </c>
      <c r="F55">
        <v>125</v>
      </c>
      <c r="H55" t="s">
        <v>1131</v>
      </c>
      <c r="I55" t="s">
        <v>1132</v>
      </c>
      <c r="J55" s="357">
        <f t="shared" si="1"/>
        <v>41668</v>
      </c>
      <c r="K55" t="str">
        <f t="shared" si="2"/>
        <v>Yes</v>
      </c>
      <c r="L55" t="str">
        <f t="shared" si="3"/>
        <v>No</v>
      </c>
      <c r="M55" t="str">
        <f t="shared" si="4"/>
        <v>No</v>
      </c>
      <c r="N55" t="str">
        <f t="shared" si="5"/>
        <v>Yes</v>
      </c>
      <c r="O55" t="str">
        <f t="shared" si="5"/>
        <v>No</v>
      </c>
      <c r="P55" t="str">
        <f t="shared" si="5"/>
        <v>No</v>
      </c>
      <c r="Q55" t="str">
        <f t="shared" si="5"/>
        <v>Yes</v>
      </c>
    </row>
    <row r="56" spans="1:17">
      <c r="A56">
        <v>241450</v>
      </c>
      <c r="B56" t="s">
        <v>1086</v>
      </c>
      <c r="C56" t="s">
        <v>1087</v>
      </c>
      <c r="D56" s="357">
        <v>40576</v>
      </c>
      <c r="E56" t="s">
        <v>1197</v>
      </c>
      <c r="F56">
        <v>125</v>
      </c>
      <c r="H56" t="s">
        <v>1198</v>
      </c>
      <c r="I56" t="s">
        <v>1108</v>
      </c>
      <c r="J56" s="357">
        <f t="shared" si="1"/>
        <v>41668</v>
      </c>
      <c r="K56" t="str">
        <f t="shared" si="2"/>
        <v>Yes</v>
      </c>
      <c r="L56" t="str">
        <f t="shared" si="3"/>
        <v>No</v>
      </c>
      <c r="M56" t="str">
        <f t="shared" si="4"/>
        <v>No</v>
      </c>
      <c r="N56" t="str">
        <f t="shared" si="5"/>
        <v>Yes</v>
      </c>
      <c r="O56" t="str">
        <f t="shared" si="5"/>
        <v>No</v>
      </c>
      <c r="P56" t="str">
        <f t="shared" si="5"/>
        <v>No</v>
      </c>
      <c r="Q56" t="str">
        <f t="shared" si="5"/>
        <v>Yes</v>
      </c>
    </row>
    <row r="57" spans="1:17">
      <c r="A57">
        <v>241712</v>
      </c>
      <c r="B57" t="s">
        <v>1112</v>
      </c>
      <c r="C57" t="s">
        <v>1192</v>
      </c>
      <c r="D57" s="357">
        <v>40577</v>
      </c>
      <c r="E57" t="s">
        <v>1199</v>
      </c>
      <c r="F57">
        <v>125</v>
      </c>
      <c r="H57" t="s">
        <v>1200</v>
      </c>
      <c r="I57" t="s">
        <v>1201</v>
      </c>
      <c r="J57" s="357">
        <f t="shared" si="1"/>
        <v>41669</v>
      </c>
      <c r="K57" t="str">
        <f t="shared" si="2"/>
        <v>Yes</v>
      </c>
      <c r="L57" t="str">
        <f t="shared" si="3"/>
        <v>No</v>
      </c>
      <c r="M57" t="str">
        <f t="shared" si="4"/>
        <v>No</v>
      </c>
      <c r="N57" t="str">
        <f t="shared" si="5"/>
        <v>Yes</v>
      </c>
      <c r="O57" t="str">
        <f t="shared" si="5"/>
        <v>No</v>
      </c>
      <c r="P57" t="str">
        <f t="shared" si="5"/>
        <v>No</v>
      </c>
      <c r="Q57" t="str">
        <f t="shared" si="5"/>
        <v>Yes</v>
      </c>
    </row>
    <row r="58" spans="1:17">
      <c r="A58">
        <v>241465</v>
      </c>
      <c r="B58" t="s">
        <v>1112</v>
      </c>
      <c r="C58" t="s">
        <v>1113</v>
      </c>
      <c r="D58" s="357">
        <v>40577</v>
      </c>
      <c r="E58" t="s">
        <v>1202</v>
      </c>
      <c r="F58">
        <v>125</v>
      </c>
      <c r="H58" t="s">
        <v>1136</v>
      </c>
      <c r="I58" t="s">
        <v>1140</v>
      </c>
      <c r="J58" s="357">
        <f t="shared" si="1"/>
        <v>41669</v>
      </c>
      <c r="K58" t="str">
        <f t="shared" si="2"/>
        <v>Yes</v>
      </c>
      <c r="L58" t="str">
        <f t="shared" si="3"/>
        <v>No</v>
      </c>
      <c r="M58" t="str">
        <f t="shared" si="4"/>
        <v>No</v>
      </c>
      <c r="N58" t="str">
        <f t="shared" si="5"/>
        <v>Yes</v>
      </c>
      <c r="O58" t="str">
        <f t="shared" si="5"/>
        <v>No</v>
      </c>
      <c r="P58" t="str">
        <f t="shared" si="5"/>
        <v>No</v>
      </c>
      <c r="Q58" t="str">
        <f t="shared" si="5"/>
        <v>Yes</v>
      </c>
    </row>
    <row r="59" spans="1:17">
      <c r="A59">
        <v>241828</v>
      </c>
      <c r="B59" t="s">
        <v>1086</v>
      </c>
      <c r="C59" t="s">
        <v>1102</v>
      </c>
      <c r="D59" s="357">
        <v>40578</v>
      </c>
      <c r="E59" t="s">
        <v>1203</v>
      </c>
      <c r="F59">
        <v>125</v>
      </c>
      <c r="H59" t="s">
        <v>1204</v>
      </c>
      <c r="I59" t="s">
        <v>1205</v>
      </c>
      <c r="J59" s="357">
        <f t="shared" si="1"/>
        <v>41670</v>
      </c>
      <c r="K59" t="str">
        <f t="shared" si="2"/>
        <v>Yes</v>
      </c>
      <c r="L59" t="str">
        <f t="shared" si="3"/>
        <v>No</v>
      </c>
      <c r="M59" t="str">
        <f t="shared" si="4"/>
        <v>No</v>
      </c>
      <c r="N59" t="str">
        <f t="shared" si="5"/>
        <v>Yes</v>
      </c>
      <c r="O59" t="str">
        <f t="shared" si="5"/>
        <v>No</v>
      </c>
      <c r="P59" t="str">
        <f t="shared" si="5"/>
        <v>No</v>
      </c>
      <c r="Q59" t="str">
        <f t="shared" si="5"/>
        <v>Yes</v>
      </c>
    </row>
    <row r="60" spans="1:17">
      <c r="A60">
        <v>240002</v>
      </c>
      <c r="B60" t="s">
        <v>1086</v>
      </c>
      <c r="C60" t="s">
        <v>1096</v>
      </c>
      <c r="D60" s="357">
        <v>40581</v>
      </c>
      <c r="E60" t="s">
        <v>1152</v>
      </c>
      <c r="F60">
        <v>125</v>
      </c>
      <c r="H60" t="s">
        <v>1153</v>
      </c>
      <c r="I60" t="s">
        <v>1154</v>
      </c>
      <c r="J60" s="357">
        <f t="shared" si="1"/>
        <v>41673</v>
      </c>
      <c r="K60" t="str">
        <f t="shared" si="2"/>
        <v>Yes</v>
      </c>
      <c r="L60" t="str">
        <f t="shared" si="3"/>
        <v>No</v>
      </c>
      <c r="M60" t="str">
        <f t="shared" si="4"/>
        <v>No</v>
      </c>
      <c r="N60" t="str">
        <f t="shared" si="5"/>
        <v>Yes</v>
      </c>
      <c r="O60" t="str">
        <f t="shared" si="5"/>
        <v>No</v>
      </c>
      <c r="P60" t="str">
        <f t="shared" si="5"/>
        <v>No</v>
      </c>
      <c r="Q60" t="str">
        <f t="shared" si="5"/>
        <v>Yes</v>
      </c>
    </row>
    <row r="61" spans="1:17">
      <c r="A61">
        <v>241058</v>
      </c>
      <c r="B61" t="s">
        <v>1112</v>
      </c>
      <c r="C61" t="s">
        <v>1115</v>
      </c>
      <c r="D61" s="357">
        <v>40582</v>
      </c>
      <c r="E61" t="s">
        <v>1206</v>
      </c>
      <c r="F61">
        <v>125</v>
      </c>
      <c r="H61" t="s">
        <v>1207</v>
      </c>
      <c r="I61" t="s">
        <v>1137</v>
      </c>
      <c r="J61" s="357">
        <f t="shared" si="1"/>
        <v>41674</v>
      </c>
      <c r="K61" t="str">
        <f t="shared" si="2"/>
        <v>Yes</v>
      </c>
      <c r="L61" t="str">
        <f t="shared" si="3"/>
        <v>No</v>
      </c>
      <c r="M61" t="str">
        <f t="shared" si="4"/>
        <v>No</v>
      </c>
      <c r="N61" t="str">
        <f t="shared" si="5"/>
        <v>Yes</v>
      </c>
      <c r="O61" t="str">
        <f t="shared" si="5"/>
        <v>No</v>
      </c>
      <c r="P61" t="str">
        <f t="shared" si="5"/>
        <v>No</v>
      </c>
      <c r="Q61" t="str">
        <f t="shared" si="5"/>
        <v>Yes</v>
      </c>
    </row>
    <row r="62" spans="1:17">
      <c r="A62">
        <v>240244</v>
      </c>
      <c r="B62" t="s">
        <v>1086</v>
      </c>
      <c r="C62" t="s">
        <v>1134</v>
      </c>
      <c r="D62" s="357">
        <v>40596</v>
      </c>
      <c r="E62" t="s">
        <v>1208</v>
      </c>
      <c r="F62">
        <v>125</v>
      </c>
      <c r="H62" t="s">
        <v>1209</v>
      </c>
      <c r="I62" t="s">
        <v>1210</v>
      </c>
      <c r="J62" s="357">
        <f t="shared" si="1"/>
        <v>41688</v>
      </c>
      <c r="K62" t="str">
        <f t="shared" si="2"/>
        <v>Yes</v>
      </c>
      <c r="L62" t="str">
        <f t="shared" si="3"/>
        <v>No</v>
      </c>
      <c r="M62" t="str">
        <f t="shared" si="4"/>
        <v>No</v>
      </c>
      <c r="N62" t="str">
        <f t="shared" si="5"/>
        <v>Yes</v>
      </c>
      <c r="O62" t="str">
        <f t="shared" si="5"/>
        <v>No</v>
      </c>
      <c r="P62" t="str">
        <f t="shared" si="5"/>
        <v>No</v>
      </c>
      <c r="Q62" t="str">
        <f t="shared" si="5"/>
        <v>Yes</v>
      </c>
    </row>
    <row r="63" spans="1:17">
      <c r="A63">
        <v>241274</v>
      </c>
      <c r="B63" t="s">
        <v>1112</v>
      </c>
      <c r="C63" t="s">
        <v>1113</v>
      </c>
      <c r="D63" s="357">
        <v>40605</v>
      </c>
      <c r="E63" t="s">
        <v>1114</v>
      </c>
      <c r="F63">
        <v>125</v>
      </c>
      <c r="H63" t="s">
        <v>1104</v>
      </c>
      <c r="I63" t="s">
        <v>1105</v>
      </c>
      <c r="J63" s="357">
        <f t="shared" si="1"/>
        <v>41697</v>
      </c>
      <c r="K63" t="str">
        <f t="shared" si="2"/>
        <v>Yes</v>
      </c>
      <c r="L63" t="str">
        <f t="shared" si="3"/>
        <v>No</v>
      </c>
      <c r="M63" t="str">
        <f t="shared" si="4"/>
        <v>No</v>
      </c>
      <c r="N63" t="str">
        <f t="shared" si="5"/>
        <v>Yes</v>
      </c>
      <c r="O63" t="str">
        <f t="shared" si="5"/>
        <v>No</v>
      </c>
      <c r="P63" t="str">
        <f t="shared" si="5"/>
        <v>No</v>
      </c>
      <c r="Q63" t="str">
        <f t="shared" si="5"/>
        <v>Yes</v>
      </c>
    </row>
    <row r="64" spans="1:17">
      <c r="A64">
        <v>241091</v>
      </c>
      <c r="B64" t="s">
        <v>1112</v>
      </c>
      <c r="C64" t="s">
        <v>1211</v>
      </c>
      <c r="D64" s="357">
        <v>40609</v>
      </c>
      <c r="E64" t="s">
        <v>1212</v>
      </c>
      <c r="F64">
        <v>125</v>
      </c>
      <c r="H64" t="s">
        <v>1171</v>
      </c>
      <c r="I64" t="s">
        <v>1213</v>
      </c>
      <c r="J64" s="357">
        <f t="shared" si="1"/>
        <v>41701</v>
      </c>
      <c r="K64" t="str">
        <f t="shared" si="2"/>
        <v>Yes</v>
      </c>
      <c r="L64" t="str">
        <f t="shared" si="3"/>
        <v>No</v>
      </c>
      <c r="M64" t="str">
        <f t="shared" si="4"/>
        <v>No</v>
      </c>
      <c r="N64" t="str">
        <f t="shared" si="5"/>
        <v>Yes</v>
      </c>
      <c r="O64" t="str">
        <f t="shared" si="5"/>
        <v>No</v>
      </c>
      <c r="P64" t="str">
        <f t="shared" si="5"/>
        <v>No</v>
      </c>
      <c r="Q64" t="str">
        <f t="shared" si="5"/>
        <v>Yes</v>
      </c>
    </row>
    <row r="65" spans="1:17">
      <c r="A65">
        <v>240811</v>
      </c>
      <c r="B65" t="s">
        <v>1086</v>
      </c>
      <c r="C65" t="s">
        <v>1134</v>
      </c>
      <c r="D65" s="357">
        <v>40619</v>
      </c>
      <c r="E65" t="s">
        <v>1202</v>
      </c>
      <c r="F65">
        <v>125</v>
      </c>
      <c r="H65" t="s">
        <v>1139</v>
      </c>
      <c r="I65" t="s">
        <v>1140</v>
      </c>
      <c r="J65" s="357">
        <f t="shared" si="1"/>
        <v>41711</v>
      </c>
      <c r="K65" t="str">
        <f t="shared" si="2"/>
        <v>Yes</v>
      </c>
      <c r="L65" t="str">
        <f t="shared" si="3"/>
        <v>No</v>
      </c>
      <c r="M65" t="str">
        <f t="shared" si="4"/>
        <v>No</v>
      </c>
      <c r="N65" t="str">
        <f t="shared" si="5"/>
        <v>Yes</v>
      </c>
      <c r="O65" t="str">
        <f t="shared" si="5"/>
        <v>No</v>
      </c>
      <c r="P65" t="str">
        <f t="shared" si="5"/>
        <v>No</v>
      </c>
      <c r="Q65" t="str">
        <f t="shared" si="5"/>
        <v>Yes</v>
      </c>
    </row>
    <row r="66" spans="1:17">
      <c r="A66">
        <v>241713</v>
      </c>
      <c r="B66" t="s">
        <v>1112</v>
      </c>
      <c r="C66" t="s">
        <v>1192</v>
      </c>
      <c r="D66" s="357">
        <v>40688</v>
      </c>
      <c r="E66" t="s">
        <v>1214</v>
      </c>
      <c r="F66">
        <v>125</v>
      </c>
      <c r="H66" t="s">
        <v>1215</v>
      </c>
      <c r="I66" t="s">
        <v>1216</v>
      </c>
      <c r="J66" s="357">
        <f t="shared" si="1"/>
        <v>41780</v>
      </c>
      <c r="K66" t="str">
        <f t="shared" si="2"/>
        <v>Yes</v>
      </c>
      <c r="L66" t="str">
        <f t="shared" si="3"/>
        <v>No</v>
      </c>
      <c r="M66" t="str">
        <f t="shared" si="4"/>
        <v>No</v>
      </c>
      <c r="N66" t="str">
        <f t="shared" si="5"/>
        <v>Yes</v>
      </c>
      <c r="O66" t="str">
        <f t="shared" si="5"/>
        <v>No</v>
      </c>
      <c r="P66" t="str">
        <f t="shared" si="5"/>
        <v>No</v>
      </c>
      <c r="Q66" t="str">
        <f t="shared" si="5"/>
        <v>Yes</v>
      </c>
    </row>
    <row r="67" spans="1:17">
      <c r="A67">
        <v>241710</v>
      </c>
      <c r="B67" t="s">
        <v>1112</v>
      </c>
      <c r="C67" t="s">
        <v>1192</v>
      </c>
      <c r="D67" s="357">
        <v>40688</v>
      </c>
      <c r="E67" t="s">
        <v>1217</v>
      </c>
      <c r="F67">
        <v>125</v>
      </c>
      <c r="H67" t="s">
        <v>1218</v>
      </c>
      <c r="I67" t="s">
        <v>1108</v>
      </c>
      <c r="J67" s="357">
        <f t="shared" si="1"/>
        <v>41780</v>
      </c>
      <c r="K67" t="str">
        <f t="shared" si="2"/>
        <v>Yes</v>
      </c>
      <c r="L67" t="str">
        <f t="shared" si="3"/>
        <v>No</v>
      </c>
      <c r="M67" t="str">
        <f t="shared" si="4"/>
        <v>No</v>
      </c>
      <c r="N67" t="str">
        <f t="shared" si="5"/>
        <v>Yes</v>
      </c>
      <c r="O67" t="str">
        <f t="shared" si="5"/>
        <v>No</v>
      </c>
      <c r="P67" t="str">
        <f t="shared" si="5"/>
        <v>No</v>
      </c>
      <c r="Q67" t="str">
        <f t="shared" si="5"/>
        <v>Yes</v>
      </c>
    </row>
    <row r="68" spans="1:17">
      <c r="A68">
        <v>241937</v>
      </c>
      <c r="B68" t="s">
        <v>1086</v>
      </c>
      <c r="C68" t="s">
        <v>1102</v>
      </c>
      <c r="D68" s="357">
        <v>40749</v>
      </c>
      <c r="E68" t="s">
        <v>1202</v>
      </c>
      <c r="F68">
        <v>125</v>
      </c>
      <c r="H68" t="s">
        <v>1207</v>
      </c>
      <c r="I68" t="s">
        <v>1137</v>
      </c>
      <c r="J68" s="357">
        <f t="shared" ref="J68:J130" si="6">D68+1092</f>
        <v>41841</v>
      </c>
      <c r="K68" t="str">
        <f t="shared" ref="K68:K130" si="7">IF(D68+1095&lt;=$K$1,"Yes","No")</f>
        <v>Yes</v>
      </c>
      <c r="L68" t="str">
        <f t="shared" ref="L68:L130" si="8">IF(AND($D68+1095&lt;=$L$1,$D68+1095&gt;=K$1),"Yes","No")</f>
        <v>No</v>
      </c>
      <c r="M68" t="str">
        <f t="shared" ref="M68:M130" si="9">IF(AND($D68+1095&lt;=$M$1,$D68+1095&gt;=L$1),"Yes","No")</f>
        <v>No</v>
      </c>
      <c r="N68" t="str">
        <f t="shared" ref="N68:Q130" si="10">K68</f>
        <v>Yes</v>
      </c>
      <c r="O68" t="str">
        <f t="shared" si="10"/>
        <v>No</v>
      </c>
      <c r="P68" t="str">
        <f t="shared" si="10"/>
        <v>No</v>
      </c>
      <c r="Q68" t="str">
        <f t="shared" si="10"/>
        <v>Yes</v>
      </c>
    </row>
    <row r="69" spans="1:17">
      <c r="A69">
        <v>241978</v>
      </c>
      <c r="B69" t="s">
        <v>1219</v>
      </c>
      <c r="D69" s="357">
        <v>40759</v>
      </c>
      <c r="E69" t="s">
        <v>1220</v>
      </c>
      <c r="F69">
        <v>125</v>
      </c>
      <c r="H69" t="s">
        <v>1221</v>
      </c>
      <c r="I69" t="s">
        <v>1222</v>
      </c>
      <c r="J69" s="357">
        <f t="shared" si="6"/>
        <v>41851</v>
      </c>
      <c r="K69" t="str">
        <f t="shared" si="7"/>
        <v>No</v>
      </c>
      <c r="L69" t="str">
        <f t="shared" si="8"/>
        <v>Yes</v>
      </c>
      <c r="M69" t="str">
        <f t="shared" si="9"/>
        <v>No</v>
      </c>
      <c r="N69" t="str">
        <f t="shared" si="10"/>
        <v>No</v>
      </c>
      <c r="O69" t="str">
        <f t="shared" si="10"/>
        <v>Yes</v>
      </c>
      <c r="P69" t="str">
        <f t="shared" si="10"/>
        <v>No</v>
      </c>
      <c r="Q69" t="str">
        <f t="shared" si="10"/>
        <v>No</v>
      </c>
    </row>
    <row r="70" spans="1:17">
      <c r="A70">
        <v>242075</v>
      </c>
      <c r="B70" t="s">
        <v>1223</v>
      </c>
      <c r="C70" t="s">
        <v>1223</v>
      </c>
      <c r="D70" s="357">
        <v>40778</v>
      </c>
      <c r="E70" t="s">
        <v>1224</v>
      </c>
      <c r="F70">
        <v>125</v>
      </c>
      <c r="H70" t="s">
        <v>1181</v>
      </c>
      <c r="I70" t="s">
        <v>280</v>
      </c>
      <c r="J70" s="357">
        <f t="shared" si="6"/>
        <v>41870</v>
      </c>
      <c r="K70" t="str">
        <f t="shared" si="7"/>
        <v>No</v>
      </c>
      <c r="L70" t="str">
        <f t="shared" si="8"/>
        <v>Yes</v>
      </c>
      <c r="M70" t="str">
        <f t="shared" si="9"/>
        <v>No</v>
      </c>
      <c r="N70" t="str">
        <f t="shared" si="10"/>
        <v>No</v>
      </c>
      <c r="O70" t="str">
        <f t="shared" si="10"/>
        <v>Yes</v>
      </c>
      <c r="P70" t="str">
        <f t="shared" si="10"/>
        <v>No</v>
      </c>
      <c r="Q70" t="str">
        <f t="shared" si="10"/>
        <v>No</v>
      </c>
    </row>
    <row r="71" spans="1:17">
      <c r="A71">
        <v>242076</v>
      </c>
      <c r="B71" t="s">
        <v>1112</v>
      </c>
      <c r="C71" t="s">
        <v>1225</v>
      </c>
      <c r="D71" s="357">
        <v>40778</v>
      </c>
      <c r="E71" t="s">
        <v>1226</v>
      </c>
      <c r="F71">
        <v>125</v>
      </c>
      <c r="H71" t="s">
        <v>1227</v>
      </c>
      <c r="I71" t="s">
        <v>1228</v>
      </c>
      <c r="J71" s="357">
        <f t="shared" si="6"/>
        <v>41870</v>
      </c>
      <c r="K71" t="str">
        <f t="shared" si="7"/>
        <v>No</v>
      </c>
      <c r="L71" t="str">
        <f t="shared" si="8"/>
        <v>Yes</v>
      </c>
      <c r="M71" t="str">
        <f t="shared" si="9"/>
        <v>No</v>
      </c>
      <c r="N71" t="str">
        <f t="shared" si="10"/>
        <v>No</v>
      </c>
      <c r="O71" t="str">
        <f t="shared" si="10"/>
        <v>Yes</v>
      </c>
      <c r="P71" t="str">
        <f t="shared" si="10"/>
        <v>No</v>
      </c>
      <c r="Q71" t="str">
        <f t="shared" si="10"/>
        <v>No</v>
      </c>
    </row>
    <row r="72" spans="1:17">
      <c r="A72">
        <v>242078</v>
      </c>
      <c r="B72" t="s">
        <v>1112</v>
      </c>
      <c r="C72" t="s">
        <v>1225</v>
      </c>
      <c r="D72" s="357">
        <v>40784</v>
      </c>
      <c r="E72" t="s">
        <v>1229</v>
      </c>
      <c r="F72">
        <v>125</v>
      </c>
      <c r="H72" t="s">
        <v>1230</v>
      </c>
      <c r="I72" t="s">
        <v>1231</v>
      </c>
      <c r="J72" s="357">
        <f t="shared" si="6"/>
        <v>41876</v>
      </c>
      <c r="K72" t="str">
        <f t="shared" si="7"/>
        <v>No</v>
      </c>
      <c r="L72" t="str">
        <f t="shared" si="8"/>
        <v>Yes</v>
      </c>
      <c r="M72" t="str">
        <f t="shared" si="9"/>
        <v>No</v>
      </c>
      <c r="N72" t="str">
        <f t="shared" si="10"/>
        <v>No</v>
      </c>
      <c r="O72" t="str">
        <f t="shared" si="10"/>
        <v>Yes</v>
      </c>
      <c r="P72" t="str">
        <f t="shared" si="10"/>
        <v>No</v>
      </c>
      <c r="Q72" t="str">
        <f t="shared" si="10"/>
        <v>No</v>
      </c>
    </row>
    <row r="73" spans="1:17">
      <c r="A73">
        <v>242079</v>
      </c>
      <c r="B73" t="s">
        <v>1112</v>
      </c>
      <c r="C73" t="s">
        <v>1225</v>
      </c>
      <c r="D73" s="357">
        <v>40784</v>
      </c>
      <c r="E73" t="s">
        <v>1232</v>
      </c>
      <c r="F73">
        <v>125</v>
      </c>
      <c r="H73" t="s">
        <v>1233</v>
      </c>
      <c r="I73" t="s">
        <v>1234</v>
      </c>
      <c r="J73" s="357">
        <f t="shared" si="6"/>
        <v>41876</v>
      </c>
      <c r="K73" t="str">
        <f t="shared" si="7"/>
        <v>No</v>
      </c>
      <c r="L73" t="str">
        <f t="shared" si="8"/>
        <v>Yes</v>
      </c>
      <c r="M73" t="str">
        <f t="shared" si="9"/>
        <v>No</v>
      </c>
      <c r="N73" t="str">
        <f t="shared" si="10"/>
        <v>No</v>
      </c>
      <c r="O73" t="str">
        <f t="shared" si="10"/>
        <v>Yes</v>
      </c>
      <c r="P73" t="str">
        <f t="shared" si="10"/>
        <v>No</v>
      </c>
      <c r="Q73" t="str">
        <f t="shared" si="10"/>
        <v>No</v>
      </c>
    </row>
    <row r="74" spans="1:17">
      <c r="A74">
        <v>242080</v>
      </c>
      <c r="B74" t="s">
        <v>1112</v>
      </c>
      <c r="C74" t="s">
        <v>1225</v>
      </c>
      <c r="D74" s="357">
        <v>40784</v>
      </c>
      <c r="E74" t="s">
        <v>1235</v>
      </c>
      <c r="F74">
        <v>125</v>
      </c>
      <c r="H74" t="s">
        <v>1236</v>
      </c>
      <c r="I74" t="s">
        <v>1237</v>
      </c>
      <c r="J74" s="357">
        <f t="shared" si="6"/>
        <v>41876</v>
      </c>
      <c r="K74" t="str">
        <f t="shared" si="7"/>
        <v>No</v>
      </c>
      <c r="L74" t="str">
        <f t="shared" si="8"/>
        <v>Yes</v>
      </c>
      <c r="M74" t="str">
        <f t="shared" si="9"/>
        <v>No</v>
      </c>
      <c r="N74" t="str">
        <f t="shared" si="10"/>
        <v>No</v>
      </c>
      <c r="O74" t="str">
        <f t="shared" si="10"/>
        <v>Yes</v>
      </c>
      <c r="P74" t="str">
        <f t="shared" si="10"/>
        <v>No</v>
      </c>
      <c r="Q74" t="str">
        <f t="shared" si="10"/>
        <v>No</v>
      </c>
    </row>
    <row r="75" spans="1:17">
      <c r="A75">
        <v>242081</v>
      </c>
      <c r="B75" t="s">
        <v>1112</v>
      </c>
      <c r="C75" t="s">
        <v>1225</v>
      </c>
      <c r="D75" s="357">
        <v>40785</v>
      </c>
      <c r="E75" t="s">
        <v>1238</v>
      </c>
      <c r="F75">
        <v>125</v>
      </c>
      <c r="H75" t="s">
        <v>1239</v>
      </c>
      <c r="I75" t="s">
        <v>1240</v>
      </c>
      <c r="J75" s="357">
        <f t="shared" si="6"/>
        <v>41877</v>
      </c>
      <c r="K75" t="str">
        <f t="shared" si="7"/>
        <v>No</v>
      </c>
      <c r="L75" t="str">
        <f t="shared" si="8"/>
        <v>Yes</v>
      </c>
      <c r="M75" t="str">
        <f t="shared" si="9"/>
        <v>No</v>
      </c>
      <c r="N75" t="str">
        <f t="shared" si="10"/>
        <v>No</v>
      </c>
      <c r="O75" t="str">
        <f t="shared" si="10"/>
        <v>Yes</v>
      </c>
      <c r="P75" t="str">
        <f t="shared" si="10"/>
        <v>No</v>
      </c>
      <c r="Q75" t="str">
        <f t="shared" si="10"/>
        <v>No</v>
      </c>
    </row>
    <row r="76" spans="1:17">
      <c r="A76">
        <v>242082</v>
      </c>
      <c r="B76" t="s">
        <v>1086</v>
      </c>
      <c r="C76" t="s">
        <v>1241</v>
      </c>
      <c r="D76" s="357">
        <v>40786</v>
      </c>
      <c r="E76" t="s">
        <v>1190</v>
      </c>
      <c r="F76">
        <v>125</v>
      </c>
      <c r="H76" t="s">
        <v>1191</v>
      </c>
      <c r="I76" t="s">
        <v>1190</v>
      </c>
      <c r="J76" s="357">
        <f t="shared" si="6"/>
        <v>41878</v>
      </c>
      <c r="K76" t="str">
        <f t="shared" si="7"/>
        <v>No</v>
      </c>
      <c r="L76" t="str">
        <f t="shared" si="8"/>
        <v>Yes</v>
      </c>
      <c r="M76" t="str">
        <f t="shared" si="9"/>
        <v>No</v>
      </c>
      <c r="N76" t="str">
        <f t="shared" si="10"/>
        <v>No</v>
      </c>
      <c r="O76" t="str">
        <f t="shared" si="10"/>
        <v>Yes</v>
      </c>
      <c r="P76" t="str">
        <f t="shared" si="10"/>
        <v>No</v>
      </c>
      <c r="Q76" t="str">
        <f t="shared" si="10"/>
        <v>No</v>
      </c>
    </row>
    <row r="77" spans="1:17">
      <c r="A77">
        <v>242083</v>
      </c>
      <c r="B77" t="s">
        <v>1112</v>
      </c>
      <c r="C77" t="s">
        <v>1225</v>
      </c>
      <c r="D77" s="357">
        <v>40786</v>
      </c>
      <c r="E77" t="s">
        <v>1242</v>
      </c>
      <c r="F77">
        <v>125</v>
      </c>
      <c r="H77" t="s">
        <v>1243</v>
      </c>
      <c r="I77" t="s">
        <v>1111</v>
      </c>
      <c r="J77" s="357">
        <f t="shared" si="6"/>
        <v>41878</v>
      </c>
      <c r="K77" t="str">
        <f t="shared" si="7"/>
        <v>No</v>
      </c>
      <c r="L77" t="str">
        <f t="shared" si="8"/>
        <v>Yes</v>
      </c>
      <c r="M77" t="str">
        <f t="shared" si="9"/>
        <v>No</v>
      </c>
      <c r="N77" t="str">
        <f t="shared" si="10"/>
        <v>No</v>
      </c>
      <c r="O77" t="str">
        <f t="shared" si="10"/>
        <v>Yes</v>
      </c>
      <c r="P77" t="str">
        <f t="shared" si="10"/>
        <v>No</v>
      </c>
      <c r="Q77" t="str">
        <f t="shared" si="10"/>
        <v>No</v>
      </c>
    </row>
    <row r="78" spans="1:17">
      <c r="A78">
        <v>242084</v>
      </c>
      <c r="B78" t="s">
        <v>1112</v>
      </c>
      <c r="C78" t="s">
        <v>1225</v>
      </c>
      <c r="D78" s="357">
        <v>40786</v>
      </c>
      <c r="E78" t="s">
        <v>1244</v>
      </c>
      <c r="F78">
        <v>125</v>
      </c>
      <c r="H78" t="s">
        <v>1245</v>
      </c>
      <c r="I78" t="s">
        <v>1111</v>
      </c>
      <c r="J78" s="357">
        <f t="shared" si="6"/>
        <v>41878</v>
      </c>
      <c r="K78" t="str">
        <f t="shared" si="7"/>
        <v>No</v>
      </c>
      <c r="L78" t="str">
        <f t="shared" si="8"/>
        <v>Yes</v>
      </c>
      <c r="M78" t="str">
        <f t="shared" si="9"/>
        <v>No</v>
      </c>
      <c r="N78" t="str">
        <f t="shared" si="10"/>
        <v>No</v>
      </c>
      <c r="O78" t="str">
        <f t="shared" si="10"/>
        <v>Yes</v>
      </c>
      <c r="P78" t="str">
        <f t="shared" si="10"/>
        <v>No</v>
      </c>
      <c r="Q78" t="str">
        <f t="shared" si="10"/>
        <v>No</v>
      </c>
    </row>
    <row r="79" spans="1:17">
      <c r="A79">
        <v>242085</v>
      </c>
      <c r="B79" t="s">
        <v>1112</v>
      </c>
      <c r="C79" t="s">
        <v>1225</v>
      </c>
      <c r="D79" s="357">
        <v>40787</v>
      </c>
      <c r="E79" t="s">
        <v>1246</v>
      </c>
      <c r="F79">
        <v>125</v>
      </c>
      <c r="H79" t="s">
        <v>1247</v>
      </c>
      <c r="I79" t="s">
        <v>1248</v>
      </c>
      <c r="J79" s="357">
        <f t="shared" si="6"/>
        <v>41879</v>
      </c>
      <c r="K79" t="str">
        <f t="shared" si="7"/>
        <v>No</v>
      </c>
      <c r="L79" t="str">
        <f t="shared" si="8"/>
        <v>Yes</v>
      </c>
      <c r="M79" t="str">
        <f t="shared" si="9"/>
        <v>No</v>
      </c>
      <c r="N79" t="str">
        <f t="shared" si="10"/>
        <v>No</v>
      </c>
      <c r="O79" t="str">
        <f t="shared" si="10"/>
        <v>Yes</v>
      </c>
      <c r="P79" t="str">
        <f t="shared" si="10"/>
        <v>No</v>
      </c>
      <c r="Q79" t="str">
        <f t="shared" si="10"/>
        <v>No</v>
      </c>
    </row>
    <row r="80" spans="1:17">
      <c r="A80">
        <v>242086</v>
      </c>
      <c r="B80" t="s">
        <v>1112</v>
      </c>
      <c r="C80" t="s">
        <v>1225</v>
      </c>
      <c r="D80" s="357">
        <v>40787</v>
      </c>
      <c r="E80" t="s">
        <v>1249</v>
      </c>
      <c r="F80">
        <v>125</v>
      </c>
      <c r="H80" t="s">
        <v>1250</v>
      </c>
      <c r="I80" t="s">
        <v>1248</v>
      </c>
      <c r="J80" s="357">
        <f t="shared" si="6"/>
        <v>41879</v>
      </c>
      <c r="K80" t="str">
        <f t="shared" si="7"/>
        <v>No</v>
      </c>
      <c r="L80" t="str">
        <f t="shared" si="8"/>
        <v>Yes</v>
      </c>
      <c r="M80" t="str">
        <f t="shared" si="9"/>
        <v>No</v>
      </c>
      <c r="N80" t="str">
        <f t="shared" si="10"/>
        <v>No</v>
      </c>
      <c r="O80" t="str">
        <f t="shared" si="10"/>
        <v>Yes</v>
      </c>
      <c r="P80" t="str">
        <f t="shared" si="10"/>
        <v>No</v>
      </c>
      <c r="Q80" t="str">
        <f t="shared" si="10"/>
        <v>No</v>
      </c>
    </row>
    <row r="81" spans="1:17">
      <c r="A81">
        <v>242089</v>
      </c>
      <c r="B81" t="s">
        <v>1112</v>
      </c>
      <c r="C81" t="s">
        <v>1225</v>
      </c>
      <c r="D81" s="357">
        <v>40801</v>
      </c>
      <c r="E81" t="s">
        <v>1251</v>
      </c>
      <c r="F81">
        <v>125</v>
      </c>
      <c r="H81" t="s">
        <v>1110</v>
      </c>
      <c r="I81" t="s">
        <v>1201</v>
      </c>
      <c r="J81" s="357">
        <f t="shared" si="6"/>
        <v>41893</v>
      </c>
      <c r="K81" t="str">
        <f t="shared" si="7"/>
        <v>No</v>
      </c>
      <c r="L81" t="str">
        <f t="shared" si="8"/>
        <v>Yes</v>
      </c>
      <c r="M81" t="str">
        <f t="shared" si="9"/>
        <v>No</v>
      </c>
      <c r="N81" t="str">
        <f t="shared" si="10"/>
        <v>No</v>
      </c>
      <c r="O81" t="str">
        <f t="shared" si="10"/>
        <v>Yes</v>
      </c>
      <c r="P81" t="str">
        <f t="shared" si="10"/>
        <v>No</v>
      </c>
      <c r="Q81" t="str">
        <f t="shared" si="10"/>
        <v>No</v>
      </c>
    </row>
    <row r="82" spans="1:17">
      <c r="A82">
        <v>242092</v>
      </c>
      <c r="B82" t="s">
        <v>1112</v>
      </c>
      <c r="C82" t="s">
        <v>1225</v>
      </c>
      <c r="D82" s="357">
        <v>40805</v>
      </c>
      <c r="E82" t="s">
        <v>1252</v>
      </c>
      <c r="F82">
        <v>125</v>
      </c>
      <c r="H82" t="s">
        <v>1253</v>
      </c>
      <c r="I82" t="s">
        <v>1254</v>
      </c>
      <c r="J82" s="357">
        <f t="shared" si="6"/>
        <v>41897</v>
      </c>
      <c r="K82" t="str">
        <f t="shared" si="7"/>
        <v>No</v>
      </c>
      <c r="L82" t="str">
        <f t="shared" si="8"/>
        <v>Yes</v>
      </c>
      <c r="M82" t="str">
        <f t="shared" si="9"/>
        <v>No</v>
      </c>
      <c r="N82" t="str">
        <f t="shared" si="10"/>
        <v>No</v>
      </c>
      <c r="O82" t="str">
        <f t="shared" si="10"/>
        <v>Yes</v>
      </c>
      <c r="P82" t="str">
        <f t="shared" si="10"/>
        <v>No</v>
      </c>
      <c r="Q82" t="str">
        <f t="shared" si="10"/>
        <v>No</v>
      </c>
    </row>
    <row r="83" spans="1:17">
      <c r="A83">
        <v>242091</v>
      </c>
      <c r="B83" t="s">
        <v>1112</v>
      </c>
      <c r="C83" t="s">
        <v>1225</v>
      </c>
      <c r="D83" s="357">
        <v>40806</v>
      </c>
      <c r="E83" t="s">
        <v>1255</v>
      </c>
      <c r="F83">
        <v>125</v>
      </c>
      <c r="H83" t="s">
        <v>1256</v>
      </c>
      <c r="I83" t="s">
        <v>1111</v>
      </c>
      <c r="J83" s="357">
        <f t="shared" si="6"/>
        <v>41898</v>
      </c>
      <c r="K83" t="str">
        <f t="shared" si="7"/>
        <v>No</v>
      </c>
      <c r="L83" t="str">
        <f t="shared" si="8"/>
        <v>Yes</v>
      </c>
      <c r="M83" t="str">
        <f t="shared" si="9"/>
        <v>No</v>
      </c>
      <c r="N83" t="str">
        <f t="shared" si="10"/>
        <v>No</v>
      </c>
      <c r="O83" t="str">
        <f t="shared" si="10"/>
        <v>Yes</v>
      </c>
      <c r="P83" t="str">
        <f t="shared" si="10"/>
        <v>No</v>
      </c>
      <c r="Q83" t="str">
        <f t="shared" si="10"/>
        <v>No</v>
      </c>
    </row>
    <row r="84" spans="1:17">
      <c r="A84">
        <v>242095</v>
      </c>
      <c r="B84" t="s">
        <v>1112</v>
      </c>
      <c r="C84" t="s">
        <v>1225</v>
      </c>
      <c r="D84" s="357">
        <v>40815</v>
      </c>
      <c r="E84" t="s">
        <v>1257</v>
      </c>
      <c r="F84">
        <v>125</v>
      </c>
      <c r="H84" t="s">
        <v>1127</v>
      </c>
      <c r="I84" t="s">
        <v>1128</v>
      </c>
      <c r="J84" s="357">
        <f t="shared" si="6"/>
        <v>41907</v>
      </c>
      <c r="K84" t="str">
        <f t="shared" si="7"/>
        <v>No</v>
      </c>
      <c r="L84" t="str">
        <f t="shared" si="8"/>
        <v>Yes</v>
      </c>
      <c r="M84" t="str">
        <f t="shared" si="9"/>
        <v>No</v>
      </c>
      <c r="N84" t="str">
        <f t="shared" si="10"/>
        <v>No</v>
      </c>
      <c r="O84" t="str">
        <f t="shared" si="10"/>
        <v>Yes</v>
      </c>
      <c r="P84" t="str">
        <f t="shared" si="10"/>
        <v>No</v>
      </c>
      <c r="Q84" t="str">
        <f t="shared" si="10"/>
        <v>No</v>
      </c>
    </row>
    <row r="85" spans="1:17">
      <c r="A85">
        <v>242097</v>
      </c>
      <c r="B85" t="s">
        <v>1086</v>
      </c>
      <c r="C85" t="s">
        <v>1258</v>
      </c>
      <c r="D85" s="357">
        <v>40821</v>
      </c>
      <c r="E85" t="s">
        <v>1186</v>
      </c>
      <c r="F85">
        <v>125</v>
      </c>
      <c r="H85" t="s">
        <v>1136</v>
      </c>
      <c r="I85" t="s">
        <v>1137</v>
      </c>
      <c r="J85" s="357">
        <f t="shared" si="6"/>
        <v>41913</v>
      </c>
      <c r="K85" t="str">
        <f t="shared" si="7"/>
        <v>No</v>
      </c>
      <c r="L85" t="str">
        <f t="shared" si="8"/>
        <v>Yes</v>
      </c>
      <c r="M85" t="str">
        <f t="shared" si="9"/>
        <v>No</v>
      </c>
      <c r="N85" t="str">
        <f t="shared" si="10"/>
        <v>No</v>
      </c>
      <c r="O85" t="str">
        <f t="shared" si="10"/>
        <v>Yes</v>
      </c>
      <c r="P85" t="str">
        <f t="shared" si="10"/>
        <v>No</v>
      </c>
      <c r="Q85" t="str">
        <f t="shared" si="10"/>
        <v>No</v>
      </c>
    </row>
    <row r="86" spans="1:17">
      <c r="A86">
        <v>242102</v>
      </c>
      <c r="B86" t="s">
        <v>1086</v>
      </c>
      <c r="C86" t="s">
        <v>1258</v>
      </c>
      <c r="D86" s="357">
        <v>40821</v>
      </c>
      <c r="E86" t="s">
        <v>1259</v>
      </c>
      <c r="F86">
        <v>125</v>
      </c>
      <c r="H86" t="s">
        <v>1260</v>
      </c>
      <c r="I86" t="s">
        <v>1261</v>
      </c>
      <c r="J86" s="357">
        <f t="shared" si="6"/>
        <v>41913</v>
      </c>
      <c r="K86" t="str">
        <f t="shared" si="7"/>
        <v>No</v>
      </c>
      <c r="L86" t="str">
        <f t="shared" si="8"/>
        <v>Yes</v>
      </c>
      <c r="M86" t="str">
        <f t="shared" si="9"/>
        <v>No</v>
      </c>
      <c r="N86" t="str">
        <f t="shared" si="10"/>
        <v>No</v>
      </c>
      <c r="O86" t="str">
        <f t="shared" si="10"/>
        <v>Yes</v>
      </c>
      <c r="P86" t="str">
        <f t="shared" si="10"/>
        <v>No</v>
      </c>
      <c r="Q86" t="str">
        <f t="shared" si="10"/>
        <v>No</v>
      </c>
    </row>
    <row r="87" spans="1:17">
      <c r="A87">
        <v>242099</v>
      </c>
      <c r="B87" t="s">
        <v>1086</v>
      </c>
      <c r="C87" t="s">
        <v>1258</v>
      </c>
      <c r="D87" s="357">
        <v>40821</v>
      </c>
      <c r="E87" t="s">
        <v>1262</v>
      </c>
      <c r="F87">
        <v>125</v>
      </c>
      <c r="H87" t="s">
        <v>1263</v>
      </c>
      <c r="I87" t="s">
        <v>1137</v>
      </c>
      <c r="J87" s="357">
        <f t="shared" si="6"/>
        <v>41913</v>
      </c>
      <c r="K87" t="str">
        <f t="shared" si="7"/>
        <v>No</v>
      </c>
      <c r="L87" t="str">
        <f t="shared" si="8"/>
        <v>Yes</v>
      </c>
      <c r="M87" t="str">
        <f t="shared" si="9"/>
        <v>No</v>
      </c>
      <c r="N87" t="str">
        <f t="shared" si="10"/>
        <v>No</v>
      </c>
      <c r="O87" t="str">
        <f t="shared" si="10"/>
        <v>Yes</v>
      </c>
      <c r="P87" t="str">
        <f t="shared" si="10"/>
        <v>No</v>
      </c>
      <c r="Q87" t="str">
        <f t="shared" si="10"/>
        <v>No</v>
      </c>
    </row>
    <row r="88" spans="1:17">
      <c r="A88">
        <v>242096</v>
      </c>
      <c r="B88" t="s">
        <v>1086</v>
      </c>
      <c r="C88" t="s">
        <v>1258</v>
      </c>
      <c r="D88" s="357">
        <v>40821</v>
      </c>
      <c r="E88" t="s">
        <v>1206</v>
      </c>
      <c r="F88">
        <v>125</v>
      </c>
      <c r="H88" t="s">
        <v>1207</v>
      </c>
      <c r="I88" t="s">
        <v>1137</v>
      </c>
      <c r="J88" s="357">
        <f t="shared" si="6"/>
        <v>41913</v>
      </c>
      <c r="K88" t="str">
        <f t="shared" si="7"/>
        <v>No</v>
      </c>
      <c r="L88" t="str">
        <f t="shared" si="8"/>
        <v>Yes</v>
      </c>
      <c r="M88" t="str">
        <f t="shared" si="9"/>
        <v>No</v>
      </c>
      <c r="N88" t="str">
        <f t="shared" si="10"/>
        <v>No</v>
      </c>
      <c r="O88" t="str">
        <f t="shared" si="10"/>
        <v>Yes</v>
      </c>
      <c r="P88" t="str">
        <f t="shared" si="10"/>
        <v>No</v>
      </c>
      <c r="Q88" t="str">
        <f t="shared" si="10"/>
        <v>No</v>
      </c>
    </row>
    <row r="89" spans="1:17">
      <c r="A89">
        <v>242093</v>
      </c>
      <c r="B89" t="s">
        <v>1086</v>
      </c>
      <c r="C89" t="s">
        <v>1258</v>
      </c>
      <c r="D89" s="357">
        <v>40833</v>
      </c>
      <c r="E89" t="s">
        <v>1174</v>
      </c>
      <c r="F89">
        <v>125</v>
      </c>
      <c r="H89" t="s">
        <v>1264</v>
      </c>
      <c r="I89" t="s">
        <v>1176</v>
      </c>
      <c r="J89" s="357">
        <f t="shared" si="6"/>
        <v>41925</v>
      </c>
      <c r="K89" t="str">
        <f t="shared" si="7"/>
        <v>No</v>
      </c>
      <c r="L89" t="str">
        <f t="shared" si="8"/>
        <v>Yes</v>
      </c>
      <c r="M89" t="str">
        <f t="shared" si="9"/>
        <v>No</v>
      </c>
      <c r="N89" t="str">
        <f t="shared" si="10"/>
        <v>No</v>
      </c>
      <c r="O89" t="str">
        <f t="shared" si="10"/>
        <v>Yes</v>
      </c>
      <c r="P89" t="str">
        <f t="shared" si="10"/>
        <v>No</v>
      </c>
      <c r="Q89" t="str">
        <f t="shared" si="10"/>
        <v>No</v>
      </c>
    </row>
    <row r="90" spans="1:17">
      <c r="A90">
        <v>241985</v>
      </c>
      <c r="B90" t="s">
        <v>1086</v>
      </c>
      <c r="C90" t="s">
        <v>1258</v>
      </c>
      <c r="D90" s="357">
        <v>40833</v>
      </c>
      <c r="E90" t="s">
        <v>1265</v>
      </c>
      <c r="F90">
        <v>125</v>
      </c>
      <c r="H90" t="s">
        <v>1266</v>
      </c>
      <c r="I90" t="s">
        <v>1176</v>
      </c>
      <c r="J90" s="357">
        <f t="shared" si="6"/>
        <v>41925</v>
      </c>
      <c r="K90" t="str">
        <f t="shared" si="7"/>
        <v>No</v>
      </c>
      <c r="L90" t="str">
        <f t="shared" si="8"/>
        <v>Yes</v>
      </c>
      <c r="M90" t="str">
        <f t="shared" si="9"/>
        <v>No</v>
      </c>
      <c r="N90" t="str">
        <f t="shared" si="10"/>
        <v>No</v>
      </c>
      <c r="O90" t="str">
        <f t="shared" si="10"/>
        <v>Yes</v>
      </c>
      <c r="P90" t="str">
        <f t="shared" si="10"/>
        <v>No</v>
      </c>
      <c r="Q90" t="str">
        <f t="shared" si="10"/>
        <v>No</v>
      </c>
    </row>
    <row r="91" spans="1:17">
      <c r="A91">
        <v>242087</v>
      </c>
      <c r="B91" t="s">
        <v>1086</v>
      </c>
      <c r="C91" t="s">
        <v>1258</v>
      </c>
      <c r="D91" s="357">
        <v>40833</v>
      </c>
      <c r="E91" t="s">
        <v>1174</v>
      </c>
      <c r="F91">
        <v>125</v>
      </c>
      <c r="H91" t="s">
        <v>1267</v>
      </c>
      <c r="I91" t="s">
        <v>1176</v>
      </c>
      <c r="J91" s="357">
        <f t="shared" si="6"/>
        <v>41925</v>
      </c>
      <c r="K91" t="str">
        <f t="shared" si="7"/>
        <v>No</v>
      </c>
      <c r="L91" t="str">
        <f t="shared" si="8"/>
        <v>Yes</v>
      </c>
      <c r="M91" t="str">
        <f t="shared" si="9"/>
        <v>No</v>
      </c>
      <c r="N91" t="str">
        <f t="shared" si="10"/>
        <v>No</v>
      </c>
      <c r="O91" t="str">
        <f t="shared" si="10"/>
        <v>Yes</v>
      </c>
      <c r="P91" t="str">
        <f t="shared" si="10"/>
        <v>No</v>
      </c>
      <c r="Q91" t="str">
        <f t="shared" si="10"/>
        <v>No</v>
      </c>
    </row>
    <row r="92" spans="1:17">
      <c r="A92">
        <v>242113</v>
      </c>
      <c r="B92" t="s">
        <v>1086</v>
      </c>
      <c r="C92" t="s">
        <v>1258</v>
      </c>
      <c r="D92" s="357">
        <v>40848</v>
      </c>
      <c r="E92" t="s">
        <v>1268</v>
      </c>
      <c r="F92">
        <v>125</v>
      </c>
      <c r="H92" t="s">
        <v>1269</v>
      </c>
      <c r="I92" t="s">
        <v>1108</v>
      </c>
      <c r="J92" s="357">
        <f t="shared" si="6"/>
        <v>41940</v>
      </c>
      <c r="K92" t="str">
        <f t="shared" si="7"/>
        <v>No</v>
      </c>
      <c r="L92" t="str">
        <f t="shared" si="8"/>
        <v>Yes</v>
      </c>
      <c r="M92" t="str">
        <f t="shared" si="9"/>
        <v>No</v>
      </c>
      <c r="N92" t="str">
        <f t="shared" si="10"/>
        <v>No</v>
      </c>
      <c r="O92" t="str">
        <f t="shared" si="10"/>
        <v>Yes</v>
      </c>
      <c r="P92" t="str">
        <f t="shared" si="10"/>
        <v>No</v>
      </c>
      <c r="Q92" t="str">
        <f t="shared" si="10"/>
        <v>No</v>
      </c>
    </row>
    <row r="93" spans="1:17">
      <c r="A93">
        <v>242114</v>
      </c>
      <c r="B93" t="s">
        <v>1086</v>
      </c>
      <c r="C93" t="s">
        <v>1258</v>
      </c>
      <c r="D93" s="357">
        <v>40848</v>
      </c>
      <c r="E93" t="s">
        <v>1270</v>
      </c>
      <c r="F93">
        <v>125</v>
      </c>
      <c r="H93" t="s">
        <v>1271</v>
      </c>
      <c r="I93" t="s">
        <v>1272</v>
      </c>
      <c r="J93" s="357">
        <f t="shared" si="6"/>
        <v>41940</v>
      </c>
      <c r="K93" t="str">
        <f t="shared" si="7"/>
        <v>No</v>
      </c>
      <c r="L93" t="str">
        <f t="shared" si="8"/>
        <v>Yes</v>
      </c>
      <c r="M93" t="str">
        <f t="shared" si="9"/>
        <v>No</v>
      </c>
      <c r="N93" t="str">
        <f t="shared" si="10"/>
        <v>No</v>
      </c>
      <c r="O93" t="str">
        <f t="shared" si="10"/>
        <v>Yes</v>
      </c>
      <c r="P93" t="str">
        <f t="shared" si="10"/>
        <v>No</v>
      </c>
      <c r="Q93" t="str">
        <f t="shared" si="10"/>
        <v>No</v>
      </c>
    </row>
    <row r="94" spans="1:17">
      <c r="A94">
        <v>242115</v>
      </c>
      <c r="B94" t="s">
        <v>1086</v>
      </c>
      <c r="C94" t="s">
        <v>1258</v>
      </c>
      <c r="D94" s="357">
        <v>40848</v>
      </c>
      <c r="E94" t="s">
        <v>1174</v>
      </c>
      <c r="F94">
        <v>125</v>
      </c>
      <c r="H94" t="s">
        <v>1175</v>
      </c>
      <c r="I94" t="s">
        <v>1176</v>
      </c>
      <c r="J94" s="357">
        <f t="shared" si="6"/>
        <v>41940</v>
      </c>
      <c r="K94" t="str">
        <f t="shared" si="7"/>
        <v>No</v>
      </c>
      <c r="L94" t="str">
        <f t="shared" si="8"/>
        <v>Yes</v>
      </c>
      <c r="M94" t="str">
        <f t="shared" si="9"/>
        <v>No</v>
      </c>
      <c r="N94" t="str">
        <f t="shared" si="10"/>
        <v>No</v>
      </c>
      <c r="O94" t="str">
        <f t="shared" si="10"/>
        <v>Yes</v>
      </c>
      <c r="P94" t="str">
        <f t="shared" si="10"/>
        <v>No</v>
      </c>
      <c r="Q94" t="str">
        <f t="shared" si="10"/>
        <v>No</v>
      </c>
    </row>
    <row r="95" spans="1:17">
      <c r="A95">
        <v>242116</v>
      </c>
      <c r="B95" t="s">
        <v>1086</v>
      </c>
      <c r="C95" t="s">
        <v>1258</v>
      </c>
      <c r="D95" s="357">
        <v>40848</v>
      </c>
      <c r="E95" t="s">
        <v>1273</v>
      </c>
      <c r="F95">
        <v>125</v>
      </c>
      <c r="H95" t="s">
        <v>1274</v>
      </c>
      <c r="I95" t="s">
        <v>1169</v>
      </c>
      <c r="J95" s="357">
        <f t="shared" si="6"/>
        <v>41940</v>
      </c>
      <c r="K95" t="str">
        <f t="shared" si="7"/>
        <v>No</v>
      </c>
      <c r="L95" t="str">
        <f t="shared" si="8"/>
        <v>Yes</v>
      </c>
      <c r="M95" t="str">
        <f t="shared" si="9"/>
        <v>No</v>
      </c>
      <c r="N95" t="str">
        <f t="shared" si="10"/>
        <v>No</v>
      </c>
      <c r="O95" t="str">
        <f t="shared" si="10"/>
        <v>Yes</v>
      </c>
      <c r="P95" t="str">
        <f t="shared" si="10"/>
        <v>No</v>
      </c>
      <c r="Q95" t="str">
        <f t="shared" si="10"/>
        <v>No</v>
      </c>
    </row>
    <row r="96" spans="1:17">
      <c r="A96">
        <v>242117</v>
      </c>
      <c r="B96" t="s">
        <v>1086</v>
      </c>
      <c r="C96" t="s">
        <v>1258</v>
      </c>
      <c r="D96" s="357">
        <v>40848</v>
      </c>
      <c r="E96" t="s">
        <v>1275</v>
      </c>
      <c r="F96">
        <v>125</v>
      </c>
      <c r="H96" t="s">
        <v>1276</v>
      </c>
      <c r="I96" t="s">
        <v>1169</v>
      </c>
      <c r="J96" s="357">
        <f t="shared" si="6"/>
        <v>41940</v>
      </c>
      <c r="K96" t="str">
        <f t="shared" si="7"/>
        <v>No</v>
      </c>
      <c r="L96" t="str">
        <f t="shared" si="8"/>
        <v>Yes</v>
      </c>
      <c r="M96" t="str">
        <f t="shared" si="9"/>
        <v>No</v>
      </c>
      <c r="N96" t="str">
        <f t="shared" si="10"/>
        <v>No</v>
      </c>
      <c r="O96" t="str">
        <f t="shared" si="10"/>
        <v>Yes</v>
      </c>
      <c r="P96" t="str">
        <f t="shared" si="10"/>
        <v>No</v>
      </c>
      <c r="Q96" t="str">
        <f t="shared" si="10"/>
        <v>No</v>
      </c>
    </row>
    <row r="97" spans="1:17">
      <c r="A97">
        <v>242119</v>
      </c>
      <c r="B97" t="s">
        <v>1086</v>
      </c>
      <c r="C97" t="s">
        <v>1258</v>
      </c>
      <c r="D97" s="357">
        <v>40848</v>
      </c>
      <c r="E97" t="s">
        <v>1277</v>
      </c>
      <c r="F97">
        <v>125</v>
      </c>
      <c r="H97" t="s">
        <v>1278</v>
      </c>
      <c r="I97" t="s">
        <v>1279</v>
      </c>
      <c r="J97" s="357">
        <f t="shared" si="6"/>
        <v>41940</v>
      </c>
      <c r="K97" t="str">
        <f t="shared" si="7"/>
        <v>No</v>
      </c>
      <c r="L97" t="str">
        <f t="shared" si="8"/>
        <v>Yes</v>
      </c>
      <c r="M97" t="str">
        <f t="shared" si="9"/>
        <v>No</v>
      </c>
      <c r="N97" t="str">
        <f t="shared" si="10"/>
        <v>No</v>
      </c>
      <c r="O97" t="str">
        <f t="shared" si="10"/>
        <v>Yes</v>
      </c>
      <c r="P97" t="str">
        <f t="shared" si="10"/>
        <v>No</v>
      </c>
      <c r="Q97" t="str">
        <f t="shared" si="10"/>
        <v>No</v>
      </c>
    </row>
    <row r="98" spans="1:17">
      <c r="A98">
        <v>242120</v>
      </c>
      <c r="B98" t="s">
        <v>1086</v>
      </c>
      <c r="C98" t="s">
        <v>1258</v>
      </c>
      <c r="D98" s="357">
        <v>40848</v>
      </c>
      <c r="E98" t="s">
        <v>1280</v>
      </c>
      <c r="F98">
        <v>125</v>
      </c>
      <c r="H98" t="s">
        <v>1278</v>
      </c>
      <c r="I98" t="s">
        <v>1279</v>
      </c>
      <c r="J98" s="357">
        <f t="shared" si="6"/>
        <v>41940</v>
      </c>
      <c r="K98" t="str">
        <f t="shared" si="7"/>
        <v>No</v>
      </c>
      <c r="L98" t="str">
        <f t="shared" si="8"/>
        <v>Yes</v>
      </c>
      <c r="M98" t="str">
        <f t="shared" si="9"/>
        <v>No</v>
      </c>
      <c r="N98" t="str">
        <f t="shared" si="10"/>
        <v>No</v>
      </c>
      <c r="O98" t="str">
        <f t="shared" si="10"/>
        <v>Yes</v>
      </c>
      <c r="P98" t="str">
        <f t="shared" si="10"/>
        <v>No</v>
      </c>
      <c r="Q98" t="str">
        <f t="shared" si="10"/>
        <v>No</v>
      </c>
    </row>
    <row r="99" spans="1:17">
      <c r="A99">
        <v>242126</v>
      </c>
      <c r="B99" t="s">
        <v>1086</v>
      </c>
      <c r="C99" t="s">
        <v>1258</v>
      </c>
      <c r="D99" s="357">
        <v>40848</v>
      </c>
      <c r="E99" t="s">
        <v>1281</v>
      </c>
      <c r="F99">
        <v>125</v>
      </c>
      <c r="J99" s="357">
        <f t="shared" si="6"/>
        <v>41940</v>
      </c>
      <c r="K99" t="str">
        <f t="shared" si="7"/>
        <v>No</v>
      </c>
      <c r="L99" t="str">
        <f t="shared" si="8"/>
        <v>Yes</v>
      </c>
      <c r="M99" t="str">
        <f t="shared" si="9"/>
        <v>No</v>
      </c>
      <c r="N99" t="str">
        <f t="shared" si="10"/>
        <v>No</v>
      </c>
      <c r="O99" t="str">
        <f t="shared" si="10"/>
        <v>Yes</v>
      </c>
      <c r="P99" t="str">
        <f t="shared" si="10"/>
        <v>No</v>
      </c>
      <c r="Q99" t="str">
        <f t="shared" si="10"/>
        <v>No</v>
      </c>
    </row>
    <row r="100" spans="1:17">
      <c r="A100">
        <v>242137</v>
      </c>
      <c r="B100" t="s">
        <v>1112</v>
      </c>
      <c r="C100" t="s">
        <v>1225</v>
      </c>
      <c r="D100" s="357">
        <v>40849</v>
      </c>
      <c r="E100" t="s">
        <v>1282</v>
      </c>
      <c r="F100">
        <v>125</v>
      </c>
      <c r="H100" t="s">
        <v>1283</v>
      </c>
      <c r="I100" t="s">
        <v>1111</v>
      </c>
      <c r="J100" s="357">
        <f t="shared" si="6"/>
        <v>41941</v>
      </c>
      <c r="K100" t="str">
        <f t="shared" si="7"/>
        <v>No</v>
      </c>
      <c r="L100" t="str">
        <f t="shared" si="8"/>
        <v>Yes</v>
      </c>
      <c r="M100" t="str">
        <f t="shared" si="9"/>
        <v>No</v>
      </c>
      <c r="N100" t="str">
        <f t="shared" si="10"/>
        <v>No</v>
      </c>
      <c r="O100" t="str">
        <f t="shared" si="10"/>
        <v>Yes</v>
      </c>
      <c r="P100" t="str">
        <f t="shared" si="10"/>
        <v>No</v>
      </c>
      <c r="Q100" t="str">
        <f t="shared" si="10"/>
        <v>No</v>
      </c>
    </row>
    <row r="101" spans="1:17">
      <c r="A101">
        <v>242140</v>
      </c>
      <c r="B101" t="s">
        <v>1112</v>
      </c>
      <c r="C101" t="s">
        <v>1225</v>
      </c>
      <c r="D101" s="357">
        <v>40850</v>
      </c>
      <c r="E101" t="s">
        <v>1284</v>
      </c>
      <c r="F101">
        <v>125</v>
      </c>
      <c r="H101" t="s">
        <v>1285</v>
      </c>
      <c r="I101" t="s">
        <v>1173</v>
      </c>
      <c r="J101" s="357">
        <f t="shared" si="6"/>
        <v>41942</v>
      </c>
      <c r="K101" t="str">
        <f t="shared" si="7"/>
        <v>No</v>
      </c>
      <c r="L101" t="str">
        <f t="shared" si="8"/>
        <v>Yes</v>
      </c>
      <c r="M101" t="str">
        <f t="shared" si="9"/>
        <v>No</v>
      </c>
      <c r="N101" t="str">
        <f t="shared" si="10"/>
        <v>No</v>
      </c>
      <c r="O101" t="str">
        <f t="shared" si="10"/>
        <v>Yes</v>
      </c>
      <c r="P101" t="str">
        <f t="shared" si="10"/>
        <v>No</v>
      </c>
      <c r="Q101" t="str">
        <f t="shared" si="10"/>
        <v>No</v>
      </c>
    </row>
    <row r="102" spans="1:17">
      <c r="A102">
        <v>242088</v>
      </c>
      <c r="B102" t="s">
        <v>1112</v>
      </c>
      <c r="C102" t="s">
        <v>1225</v>
      </c>
      <c r="D102" s="357">
        <v>40854</v>
      </c>
      <c r="E102" t="s">
        <v>1286</v>
      </c>
      <c r="F102">
        <v>125</v>
      </c>
      <c r="H102" t="s">
        <v>1287</v>
      </c>
      <c r="I102" t="s">
        <v>1228</v>
      </c>
      <c r="J102" s="357">
        <f t="shared" si="6"/>
        <v>41946</v>
      </c>
      <c r="K102" t="str">
        <f t="shared" si="7"/>
        <v>No</v>
      </c>
      <c r="L102" t="str">
        <f t="shared" si="8"/>
        <v>Yes</v>
      </c>
      <c r="M102" t="str">
        <f t="shared" si="9"/>
        <v>No</v>
      </c>
      <c r="N102" t="str">
        <f t="shared" si="10"/>
        <v>No</v>
      </c>
      <c r="O102" t="str">
        <f t="shared" si="10"/>
        <v>Yes</v>
      </c>
      <c r="P102" t="str">
        <f t="shared" si="10"/>
        <v>No</v>
      </c>
      <c r="Q102" t="str">
        <f t="shared" si="10"/>
        <v>No</v>
      </c>
    </row>
    <row r="103" spans="1:17">
      <c r="A103">
        <v>242142</v>
      </c>
      <c r="B103" t="s">
        <v>1086</v>
      </c>
      <c r="C103" t="s">
        <v>1258</v>
      </c>
      <c r="D103" s="357">
        <v>40856</v>
      </c>
      <c r="E103" t="s">
        <v>1288</v>
      </c>
      <c r="F103">
        <v>125</v>
      </c>
      <c r="H103" t="s">
        <v>1289</v>
      </c>
      <c r="I103" t="s">
        <v>1228</v>
      </c>
      <c r="J103" s="357">
        <f t="shared" si="6"/>
        <v>41948</v>
      </c>
      <c r="K103" t="str">
        <f t="shared" si="7"/>
        <v>No</v>
      </c>
      <c r="L103" t="str">
        <f t="shared" si="8"/>
        <v>Yes</v>
      </c>
      <c r="M103" t="str">
        <f t="shared" si="9"/>
        <v>No</v>
      </c>
      <c r="N103" t="str">
        <f t="shared" si="10"/>
        <v>No</v>
      </c>
      <c r="O103" t="str">
        <f t="shared" si="10"/>
        <v>Yes</v>
      </c>
      <c r="P103" t="str">
        <f t="shared" si="10"/>
        <v>No</v>
      </c>
      <c r="Q103" t="str">
        <f t="shared" si="10"/>
        <v>No</v>
      </c>
    </row>
    <row r="104" spans="1:17">
      <c r="A104">
        <v>242112</v>
      </c>
      <c r="B104" t="s">
        <v>1112</v>
      </c>
      <c r="C104" t="s">
        <v>1225</v>
      </c>
      <c r="D104" s="357">
        <v>40856</v>
      </c>
      <c r="E104" t="s">
        <v>1290</v>
      </c>
      <c r="F104">
        <v>125</v>
      </c>
      <c r="H104" t="s">
        <v>1291</v>
      </c>
      <c r="I104" t="s">
        <v>1108</v>
      </c>
      <c r="J104" s="357">
        <f t="shared" si="6"/>
        <v>41948</v>
      </c>
      <c r="K104" t="str">
        <f t="shared" si="7"/>
        <v>No</v>
      </c>
      <c r="L104" t="str">
        <f t="shared" si="8"/>
        <v>Yes</v>
      </c>
      <c r="M104" t="str">
        <f t="shared" si="9"/>
        <v>No</v>
      </c>
      <c r="N104" t="str">
        <f t="shared" si="10"/>
        <v>No</v>
      </c>
      <c r="O104" t="str">
        <f t="shared" si="10"/>
        <v>Yes</v>
      </c>
      <c r="P104" t="str">
        <f t="shared" si="10"/>
        <v>No</v>
      </c>
      <c r="Q104" t="str">
        <f t="shared" si="10"/>
        <v>No</v>
      </c>
    </row>
    <row r="105" spans="1:17">
      <c r="A105">
        <v>242135</v>
      </c>
      <c r="B105" t="s">
        <v>1086</v>
      </c>
      <c r="C105" t="s">
        <v>1258</v>
      </c>
      <c r="D105" s="357">
        <v>40856</v>
      </c>
      <c r="E105" t="s">
        <v>1282</v>
      </c>
      <c r="F105">
        <v>125</v>
      </c>
      <c r="H105" t="s">
        <v>1380</v>
      </c>
      <c r="I105" t="s">
        <v>1111</v>
      </c>
      <c r="J105" s="357">
        <f t="shared" si="6"/>
        <v>41948</v>
      </c>
      <c r="K105" t="str">
        <f t="shared" si="7"/>
        <v>No</v>
      </c>
      <c r="L105" t="str">
        <f t="shared" si="8"/>
        <v>Yes</v>
      </c>
      <c r="M105" t="str">
        <f t="shared" si="9"/>
        <v>No</v>
      </c>
      <c r="N105" t="str">
        <f t="shared" si="10"/>
        <v>No</v>
      </c>
      <c r="O105" t="str">
        <f t="shared" si="10"/>
        <v>Yes</v>
      </c>
      <c r="P105" t="str">
        <f t="shared" si="10"/>
        <v>No</v>
      </c>
      <c r="Q105" t="str">
        <f t="shared" si="10"/>
        <v>No</v>
      </c>
    </row>
    <row r="106" spans="1:17">
      <c r="A106">
        <v>241540</v>
      </c>
      <c r="B106" t="s">
        <v>1112</v>
      </c>
      <c r="C106" t="s">
        <v>1113</v>
      </c>
      <c r="D106" s="357">
        <v>40864</v>
      </c>
      <c r="E106" t="s">
        <v>1292</v>
      </c>
      <c r="F106">
        <v>125</v>
      </c>
      <c r="H106" t="s">
        <v>1293</v>
      </c>
      <c r="I106" t="s">
        <v>1294</v>
      </c>
      <c r="J106" s="357">
        <f t="shared" si="6"/>
        <v>41956</v>
      </c>
      <c r="K106" t="str">
        <f t="shared" si="7"/>
        <v>No</v>
      </c>
      <c r="L106" t="str">
        <f t="shared" si="8"/>
        <v>Yes</v>
      </c>
      <c r="M106" t="str">
        <f t="shared" si="9"/>
        <v>No</v>
      </c>
      <c r="N106" t="str">
        <f t="shared" si="10"/>
        <v>No</v>
      </c>
      <c r="O106" t="str">
        <f t="shared" si="10"/>
        <v>Yes</v>
      </c>
      <c r="P106" t="str">
        <f t="shared" si="10"/>
        <v>No</v>
      </c>
      <c r="Q106" t="str">
        <f t="shared" si="10"/>
        <v>No</v>
      </c>
    </row>
    <row r="107" spans="1:17">
      <c r="A107">
        <v>242077</v>
      </c>
      <c r="B107" t="s">
        <v>1086</v>
      </c>
      <c r="C107" t="s">
        <v>1258</v>
      </c>
      <c r="D107" s="357">
        <v>40864</v>
      </c>
      <c r="E107" t="s">
        <v>1292</v>
      </c>
      <c r="F107">
        <v>125</v>
      </c>
      <c r="H107" t="s">
        <v>1293</v>
      </c>
      <c r="I107" t="s">
        <v>1294</v>
      </c>
      <c r="J107" s="357">
        <f t="shared" si="6"/>
        <v>41956</v>
      </c>
      <c r="K107" t="str">
        <f t="shared" si="7"/>
        <v>No</v>
      </c>
      <c r="L107" t="str">
        <f t="shared" si="8"/>
        <v>Yes</v>
      </c>
      <c r="M107" t="str">
        <f t="shared" si="9"/>
        <v>No</v>
      </c>
      <c r="N107" t="str">
        <f t="shared" si="10"/>
        <v>No</v>
      </c>
      <c r="O107" t="str">
        <f t="shared" si="10"/>
        <v>Yes</v>
      </c>
      <c r="P107" t="str">
        <f t="shared" si="10"/>
        <v>No</v>
      </c>
      <c r="Q107" t="str">
        <f t="shared" si="10"/>
        <v>No</v>
      </c>
    </row>
    <row r="108" spans="1:17">
      <c r="A108">
        <v>240596</v>
      </c>
      <c r="B108" t="s">
        <v>1086</v>
      </c>
      <c r="C108" t="s">
        <v>1091</v>
      </c>
      <c r="D108" s="357">
        <v>40864</v>
      </c>
      <c r="E108" t="s">
        <v>1295</v>
      </c>
      <c r="F108">
        <v>125</v>
      </c>
      <c r="H108" t="s">
        <v>1293</v>
      </c>
      <c r="I108" t="s">
        <v>1294</v>
      </c>
      <c r="J108" s="357">
        <f t="shared" si="6"/>
        <v>41956</v>
      </c>
      <c r="K108" t="str">
        <f t="shared" si="7"/>
        <v>No</v>
      </c>
      <c r="L108" t="str">
        <f t="shared" si="8"/>
        <v>Yes</v>
      </c>
      <c r="M108" t="str">
        <f t="shared" si="9"/>
        <v>No</v>
      </c>
      <c r="N108" t="str">
        <f t="shared" si="10"/>
        <v>No</v>
      </c>
      <c r="O108" t="str">
        <f t="shared" si="10"/>
        <v>Yes</v>
      </c>
      <c r="P108" t="str">
        <f t="shared" si="10"/>
        <v>No</v>
      </c>
      <c r="Q108" t="str">
        <f t="shared" si="10"/>
        <v>No</v>
      </c>
    </row>
    <row r="109" spans="1:17">
      <c r="A109">
        <v>242103</v>
      </c>
      <c r="B109" t="s">
        <v>1112</v>
      </c>
      <c r="C109" t="s">
        <v>1296</v>
      </c>
      <c r="D109" s="357">
        <v>40864</v>
      </c>
      <c r="E109" t="s">
        <v>1297</v>
      </c>
      <c r="F109">
        <v>125</v>
      </c>
      <c r="H109" t="s">
        <v>1298</v>
      </c>
      <c r="I109" t="s">
        <v>1294</v>
      </c>
      <c r="J109" s="357">
        <f t="shared" si="6"/>
        <v>41956</v>
      </c>
      <c r="K109" t="str">
        <f t="shared" si="7"/>
        <v>No</v>
      </c>
      <c r="L109" t="str">
        <f t="shared" si="8"/>
        <v>Yes</v>
      </c>
      <c r="M109" t="str">
        <f t="shared" si="9"/>
        <v>No</v>
      </c>
      <c r="N109" t="str">
        <f t="shared" si="10"/>
        <v>No</v>
      </c>
      <c r="O109" t="str">
        <f t="shared" si="10"/>
        <v>Yes</v>
      </c>
      <c r="P109" t="str">
        <f t="shared" si="10"/>
        <v>No</v>
      </c>
      <c r="Q109" t="str">
        <f t="shared" si="10"/>
        <v>No</v>
      </c>
    </row>
    <row r="110" spans="1:17">
      <c r="A110">
        <v>241322</v>
      </c>
      <c r="B110" t="s">
        <v>1086</v>
      </c>
      <c r="C110" t="s">
        <v>1087</v>
      </c>
      <c r="D110" s="357">
        <v>40907</v>
      </c>
      <c r="E110" t="s">
        <v>1097</v>
      </c>
      <c r="F110">
        <v>125</v>
      </c>
      <c r="H110" t="s">
        <v>1098</v>
      </c>
      <c r="I110" t="s">
        <v>1099</v>
      </c>
      <c r="J110" s="357">
        <f t="shared" si="6"/>
        <v>41999</v>
      </c>
      <c r="K110" t="str">
        <f t="shared" si="7"/>
        <v>No</v>
      </c>
      <c r="L110" t="str">
        <f t="shared" si="8"/>
        <v>Yes</v>
      </c>
      <c r="M110" t="str">
        <f t="shared" si="9"/>
        <v>No</v>
      </c>
      <c r="N110" t="str">
        <f t="shared" si="10"/>
        <v>No</v>
      </c>
      <c r="O110" t="str">
        <f t="shared" si="10"/>
        <v>Yes</v>
      </c>
      <c r="P110" t="str">
        <f t="shared" si="10"/>
        <v>No</v>
      </c>
      <c r="Q110" t="str">
        <f t="shared" si="10"/>
        <v>No</v>
      </c>
    </row>
    <row r="111" spans="1:17">
      <c r="A111">
        <v>241323</v>
      </c>
      <c r="B111" t="s">
        <v>1086</v>
      </c>
      <c r="C111" t="s">
        <v>1087</v>
      </c>
      <c r="D111" s="357">
        <v>40907</v>
      </c>
      <c r="E111" t="s">
        <v>1097</v>
      </c>
      <c r="F111">
        <v>125</v>
      </c>
      <c r="H111" t="s">
        <v>1098</v>
      </c>
      <c r="I111" t="s">
        <v>1099</v>
      </c>
      <c r="J111" s="357">
        <f t="shared" si="6"/>
        <v>41999</v>
      </c>
      <c r="K111" t="str">
        <f t="shared" si="7"/>
        <v>No</v>
      </c>
      <c r="L111" t="str">
        <f t="shared" si="8"/>
        <v>Yes</v>
      </c>
      <c r="M111" t="str">
        <f t="shared" si="9"/>
        <v>No</v>
      </c>
      <c r="N111" t="str">
        <f t="shared" si="10"/>
        <v>No</v>
      </c>
      <c r="O111" t="str">
        <f t="shared" si="10"/>
        <v>Yes</v>
      </c>
      <c r="P111" t="str">
        <f t="shared" si="10"/>
        <v>No</v>
      </c>
      <c r="Q111" t="str">
        <f t="shared" si="10"/>
        <v>No</v>
      </c>
    </row>
    <row r="112" spans="1:17">
      <c r="A112">
        <v>242157</v>
      </c>
      <c r="B112" t="s">
        <v>1086</v>
      </c>
      <c r="C112" t="s">
        <v>1258</v>
      </c>
      <c r="D112" s="357">
        <v>40907</v>
      </c>
      <c r="E112" t="s">
        <v>1299</v>
      </c>
      <c r="F112">
        <v>125</v>
      </c>
      <c r="H112" t="s">
        <v>1131</v>
      </c>
      <c r="I112" t="s">
        <v>1132</v>
      </c>
      <c r="J112" s="357">
        <f t="shared" si="6"/>
        <v>41999</v>
      </c>
      <c r="K112" t="str">
        <f t="shared" si="7"/>
        <v>No</v>
      </c>
      <c r="L112" t="str">
        <f t="shared" si="8"/>
        <v>Yes</v>
      </c>
      <c r="M112" t="str">
        <f t="shared" si="9"/>
        <v>No</v>
      </c>
      <c r="N112" t="str">
        <f t="shared" si="10"/>
        <v>No</v>
      </c>
      <c r="O112" t="str">
        <f t="shared" si="10"/>
        <v>Yes</v>
      </c>
      <c r="P112" t="str">
        <f t="shared" si="10"/>
        <v>No</v>
      </c>
      <c r="Q112" t="str">
        <f t="shared" si="10"/>
        <v>No</v>
      </c>
    </row>
    <row r="113" spans="1:17">
      <c r="A113">
        <v>240562</v>
      </c>
      <c r="B113" t="s">
        <v>1086</v>
      </c>
      <c r="C113" t="s">
        <v>1096</v>
      </c>
      <c r="D113" s="357">
        <v>40939</v>
      </c>
      <c r="E113" t="s">
        <v>1164</v>
      </c>
      <c r="F113">
        <v>125</v>
      </c>
      <c r="H113" t="s">
        <v>1165</v>
      </c>
      <c r="I113" t="s">
        <v>1173</v>
      </c>
      <c r="J113" s="357">
        <f t="shared" si="6"/>
        <v>42031</v>
      </c>
      <c r="K113" t="str">
        <f t="shared" si="7"/>
        <v>No</v>
      </c>
      <c r="L113" t="str">
        <f t="shared" si="8"/>
        <v>Yes</v>
      </c>
      <c r="M113" t="str">
        <f t="shared" si="9"/>
        <v>No</v>
      </c>
      <c r="N113" t="str">
        <f t="shared" si="10"/>
        <v>No</v>
      </c>
      <c r="O113" t="str">
        <f t="shared" si="10"/>
        <v>Yes</v>
      </c>
      <c r="P113" t="str">
        <f t="shared" si="10"/>
        <v>No</v>
      </c>
      <c r="Q113" t="str">
        <f t="shared" si="10"/>
        <v>No</v>
      </c>
    </row>
    <row r="114" spans="1:17">
      <c r="A114">
        <v>240591</v>
      </c>
      <c r="B114" t="s">
        <v>1086</v>
      </c>
      <c r="C114" t="s">
        <v>1096</v>
      </c>
      <c r="D114" s="357">
        <v>40939</v>
      </c>
      <c r="E114" t="s">
        <v>1275</v>
      </c>
      <c r="F114">
        <v>125</v>
      </c>
      <c r="H114" t="s">
        <v>1165</v>
      </c>
      <c r="I114" t="s">
        <v>1154</v>
      </c>
      <c r="J114" s="357">
        <f t="shared" si="6"/>
        <v>42031</v>
      </c>
      <c r="K114" t="str">
        <f t="shared" si="7"/>
        <v>No</v>
      </c>
      <c r="L114" t="str">
        <f t="shared" si="8"/>
        <v>Yes</v>
      </c>
      <c r="M114" t="str">
        <f t="shared" si="9"/>
        <v>No</v>
      </c>
      <c r="N114" t="str">
        <f t="shared" si="10"/>
        <v>No</v>
      </c>
      <c r="O114" t="str">
        <f t="shared" si="10"/>
        <v>Yes</v>
      </c>
      <c r="P114" t="str">
        <f t="shared" si="10"/>
        <v>No</v>
      </c>
      <c r="Q114" t="str">
        <f t="shared" si="10"/>
        <v>No</v>
      </c>
    </row>
    <row r="115" spans="1:17">
      <c r="A115">
        <v>240838</v>
      </c>
      <c r="B115" t="s">
        <v>1086</v>
      </c>
      <c r="C115" t="s">
        <v>1129</v>
      </c>
      <c r="D115" s="357">
        <v>40940</v>
      </c>
      <c r="E115" t="s">
        <v>1300</v>
      </c>
      <c r="F115">
        <v>125</v>
      </c>
      <c r="H115" t="s">
        <v>1139</v>
      </c>
      <c r="I115" t="s">
        <v>1137</v>
      </c>
      <c r="J115" s="357">
        <f t="shared" si="6"/>
        <v>42032</v>
      </c>
      <c r="K115" t="str">
        <f t="shared" si="7"/>
        <v>No</v>
      </c>
      <c r="L115" t="str">
        <f t="shared" si="8"/>
        <v>Yes</v>
      </c>
      <c r="M115" t="str">
        <f t="shared" si="9"/>
        <v>No</v>
      </c>
      <c r="N115" t="str">
        <f t="shared" si="10"/>
        <v>No</v>
      </c>
      <c r="O115" t="str">
        <f t="shared" si="10"/>
        <v>Yes</v>
      </c>
      <c r="P115" t="str">
        <f t="shared" si="10"/>
        <v>No</v>
      </c>
      <c r="Q115" t="str">
        <f t="shared" si="10"/>
        <v>No</v>
      </c>
    </row>
    <row r="116" spans="1:17">
      <c r="A116">
        <v>241709</v>
      </c>
      <c r="B116" t="s">
        <v>1112</v>
      </c>
      <c r="C116" t="s">
        <v>1192</v>
      </c>
      <c r="D116" s="357">
        <v>40941</v>
      </c>
      <c r="E116" t="s">
        <v>1301</v>
      </c>
      <c r="F116">
        <v>125</v>
      </c>
      <c r="H116" t="s">
        <v>1302</v>
      </c>
      <c r="I116" t="s">
        <v>1090</v>
      </c>
      <c r="J116" s="357">
        <f t="shared" si="6"/>
        <v>42033</v>
      </c>
      <c r="K116" t="str">
        <f t="shared" si="7"/>
        <v>No</v>
      </c>
      <c r="L116" t="str">
        <f t="shared" si="8"/>
        <v>Yes</v>
      </c>
      <c r="M116" t="str">
        <f t="shared" si="9"/>
        <v>No</v>
      </c>
      <c r="N116" t="str">
        <f t="shared" si="10"/>
        <v>No</v>
      </c>
      <c r="O116" t="str">
        <f t="shared" si="10"/>
        <v>Yes</v>
      </c>
      <c r="P116" t="str">
        <f t="shared" si="10"/>
        <v>No</v>
      </c>
      <c r="Q116" t="str">
        <f t="shared" si="10"/>
        <v>No</v>
      </c>
    </row>
    <row r="117" spans="1:17">
      <c r="A117">
        <v>242510</v>
      </c>
      <c r="B117" t="s">
        <v>1303</v>
      </c>
      <c r="C117" t="s">
        <v>1304</v>
      </c>
      <c r="D117" s="357">
        <v>40941</v>
      </c>
      <c r="E117" t="s">
        <v>1259</v>
      </c>
      <c r="F117">
        <v>125</v>
      </c>
      <c r="H117" t="s">
        <v>1260</v>
      </c>
      <c r="I117" t="s">
        <v>1261</v>
      </c>
      <c r="J117" s="357">
        <f t="shared" si="6"/>
        <v>42033</v>
      </c>
      <c r="K117" t="str">
        <f t="shared" si="7"/>
        <v>No</v>
      </c>
      <c r="L117" t="str">
        <f t="shared" si="8"/>
        <v>Yes</v>
      </c>
      <c r="M117" t="str">
        <f t="shared" si="9"/>
        <v>No</v>
      </c>
      <c r="N117" t="str">
        <f t="shared" si="10"/>
        <v>No</v>
      </c>
      <c r="O117" t="str">
        <f t="shared" si="10"/>
        <v>Yes</v>
      </c>
      <c r="P117" t="str">
        <f t="shared" si="10"/>
        <v>No</v>
      </c>
      <c r="Q117" t="str">
        <f t="shared" si="10"/>
        <v>No</v>
      </c>
    </row>
    <row r="118" spans="1:17">
      <c r="A118">
        <v>241098</v>
      </c>
      <c r="B118" t="s">
        <v>1112</v>
      </c>
      <c r="C118" t="s">
        <v>1115</v>
      </c>
      <c r="D118" s="357">
        <v>40973</v>
      </c>
      <c r="E118" t="s">
        <v>1305</v>
      </c>
      <c r="F118">
        <v>125</v>
      </c>
      <c r="H118" t="s">
        <v>1306</v>
      </c>
      <c r="I118" t="s">
        <v>1137</v>
      </c>
      <c r="J118" s="357">
        <f t="shared" si="6"/>
        <v>42065</v>
      </c>
      <c r="K118" t="str">
        <f t="shared" si="7"/>
        <v>No</v>
      </c>
      <c r="L118" t="str">
        <f t="shared" si="8"/>
        <v>Yes</v>
      </c>
      <c r="M118" t="str">
        <f t="shared" si="9"/>
        <v>No</v>
      </c>
      <c r="N118" t="str">
        <f t="shared" si="10"/>
        <v>No</v>
      </c>
      <c r="O118" t="str">
        <f t="shared" si="10"/>
        <v>Yes</v>
      </c>
      <c r="P118" t="str">
        <f t="shared" si="10"/>
        <v>No</v>
      </c>
      <c r="Q118" t="str">
        <f t="shared" si="10"/>
        <v>No</v>
      </c>
    </row>
    <row r="119" spans="1:17">
      <c r="A119">
        <v>241541</v>
      </c>
      <c r="B119" t="s">
        <v>1112</v>
      </c>
      <c r="C119" t="s">
        <v>1307</v>
      </c>
      <c r="D119" s="357">
        <v>41067</v>
      </c>
      <c r="E119" t="s">
        <v>1308</v>
      </c>
      <c r="F119">
        <v>125</v>
      </c>
      <c r="H119" t="s">
        <v>1309</v>
      </c>
      <c r="I119" t="s">
        <v>1173</v>
      </c>
      <c r="J119" s="357">
        <f t="shared" si="6"/>
        <v>42159</v>
      </c>
      <c r="K119" t="str">
        <f t="shared" si="7"/>
        <v>No</v>
      </c>
      <c r="L119" t="str">
        <f t="shared" si="8"/>
        <v>Yes</v>
      </c>
      <c r="M119" t="str">
        <f t="shared" si="9"/>
        <v>No</v>
      </c>
      <c r="N119" t="str">
        <f t="shared" si="10"/>
        <v>No</v>
      </c>
      <c r="O119" t="str">
        <f t="shared" si="10"/>
        <v>Yes</v>
      </c>
      <c r="P119" t="str">
        <f t="shared" si="10"/>
        <v>No</v>
      </c>
      <c r="Q119" t="str">
        <f t="shared" si="10"/>
        <v>No</v>
      </c>
    </row>
    <row r="120" spans="1:17">
      <c r="A120">
        <v>241184</v>
      </c>
      <c r="B120" t="s">
        <v>1112</v>
      </c>
      <c r="C120" t="s">
        <v>1185</v>
      </c>
      <c r="D120" s="357">
        <v>41068</v>
      </c>
      <c r="E120" t="s">
        <v>1187</v>
      </c>
      <c r="F120">
        <v>125</v>
      </c>
      <c r="H120" t="s">
        <v>1188</v>
      </c>
      <c r="I120" t="s">
        <v>1189</v>
      </c>
      <c r="J120" s="357">
        <f t="shared" si="6"/>
        <v>42160</v>
      </c>
      <c r="K120" t="str">
        <f t="shared" si="7"/>
        <v>No</v>
      </c>
      <c r="L120" t="str">
        <f t="shared" si="8"/>
        <v>Yes</v>
      </c>
      <c r="M120" t="str">
        <f t="shared" si="9"/>
        <v>No</v>
      </c>
      <c r="N120" t="str">
        <f t="shared" si="10"/>
        <v>No</v>
      </c>
      <c r="O120" t="str">
        <f t="shared" si="10"/>
        <v>Yes</v>
      </c>
      <c r="P120" t="str">
        <f t="shared" si="10"/>
        <v>No</v>
      </c>
      <c r="Q120" t="str">
        <f t="shared" si="10"/>
        <v>No</v>
      </c>
    </row>
    <row r="121" spans="1:17">
      <c r="A121">
        <v>242193</v>
      </c>
      <c r="B121" t="s">
        <v>1112</v>
      </c>
      <c r="C121" t="s">
        <v>1115</v>
      </c>
      <c r="D121" s="357">
        <v>41078</v>
      </c>
      <c r="E121" t="s">
        <v>1138</v>
      </c>
      <c r="F121">
        <v>125</v>
      </c>
      <c r="H121" t="s">
        <v>1139</v>
      </c>
      <c r="I121" t="s">
        <v>1140</v>
      </c>
      <c r="J121" s="357">
        <f t="shared" si="6"/>
        <v>42170</v>
      </c>
      <c r="K121" t="str">
        <f t="shared" si="7"/>
        <v>No</v>
      </c>
      <c r="L121" t="str">
        <f t="shared" si="8"/>
        <v>Yes</v>
      </c>
      <c r="M121" t="str">
        <f t="shared" si="9"/>
        <v>No</v>
      </c>
      <c r="N121" t="str">
        <f t="shared" si="10"/>
        <v>No</v>
      </c>
      <c r="O121" t="str">
        <f t="shared" si="10"/>
        <v>Yes</v>
      </c>
      <c r="P121" t="str">
        <f t="shared" si="10"/>
        <v>No</v>
      </c>
      <c r="Q121" t="str">
        <f t="shared" si="10"/>
        <v>No</v>
      </c>
    </row>
    <row r="122" spans="1:17">
      <c r="A122">
        <v>242194</v>
      </c>
      <c r="B122" t="s">
        <v>1112</v>
      </c>
      <c r="C122" t="s">
        <v>1296</v>
      </c>
      <c r="D122" s="357">
        <v>41079</v>
      </c>
      <c r="E122" t="s">
        <v>1310</v>
      </c>
      <c r="F122">
        <v>125</v>
      </c>
      <c r="H122" t="s">
        <v>1311</v>
      </c>
      <c r="I122" t="s">
        <v>1294</v>
      </c>
      <c r="J122" s="357">
        <f t="shared" si="6"/>
        <v>42171</v>
      </c>
      <c r="K122" t="str">
        <f t="shared" si="7"/>
        <v>No</v>
      </c>
      <c r="L122" t="str">
        <f t="shared" si="8"/>
        <v>Yes</v>
      </c>
      <c r="M122" t="str">
        <f t="shared" si="9"/>
        <v>No</v>
      </c>
      <c r="N122" t="str">
        <f t="shared" si="10"/>
        <v>No</v>
      </c>
      <c r="O122" t="str">
        <f t="shared" si="10"/>
        <v>Yes</v>
      </c>
      <c r="P122" t="str">
        <f t="shared" si="10"/>
        <v>No</v>
      </c>
      <c r="Q122" t="str">
        <f t="shared" si="10"/>
        <v>No</v>
      </c>
    </row>
    <row r="123" spans="1:17">
      <c r="A123">
        <v>240533</v>
      </c>
      <c r="B123" t="s">
        <v>1086</v>
      </c>
      <c r="D123" s="357">
        <v>41085</v>
      </c>
      <c r="E123" t="s">
        <v>1180</v>
      </c>
      <c r="F123">
        <v>125</v>
      </c>
      <c r="H123" t="s">
        <v>1181</v>
      </c>
      <c r="I123" t="s">
        <v>280</v>
      </c>
      <c r="J123" s="357">
        <f t="shared" si="6"/>
        <v>42177</v>
      </c>
      <c r="K123" t="str">
        <f t="shared" si="7"/>
        <v>No</v>
      </c>
      <c r="L123" t="str">
        <f t="shared" si="8"/>
        <v>Yes</v>
      </c>
      <c r="M123" t="str">
        <f t="shared" si="9"/>
        <v>No</v>
      </c>
      <c r="N123" t="str">
        <f t="shared" si="10"/>
        <v>No</v>
      </c>
      <c r="O123" t="str">
        <f t="shared" si="10"/>
        <v>Yes</v>
      </c>
      <c r="P123" t="str">
        <f t="shared" si="10"/>
        <v>No</v>
      </c>
      <c r="Q123" t="str">
        <f t="shared" si="10"/>
        <v>No</v>
      </c>
    </row>
    <row r="124" spans="1:17">
      <c r="A124">
        <v>240544</v>
      </c>
      <c r="B124" t="s">
        <v>1086</v>
      </c>
      <c r="D124" s="357">
        <v>41085</v>
      </c>
      <c r="E124" t="s">
        <v>1180</v>
      </c>
      <c r="F124">
        <v>125</v>
      </c>
      <c r="H124" t="s">
        <v>1181</v>
      </c>
      <c r="I124" t="s">
        <v>280</v>
      </c>
      <c r="J124" s="357">
        <f t="shared" si="6"/>
        <v>42177</v>
      </c>
      <c r="K124" t="str">
        <f t="shared" si="7"/>
        <v>No</v>
      </c>
      <c r="L124" t="str">
        <f t="shared" si="8"/>
        <v>Yes</v>
      </c>
      <c r="M124" t="str">
        <f t="shared" si="9"/>
        <v>No</v>
      </c>
      <c r="N124" t="str">
        <f t="shared" si="10"/>
        <v>No</v>
      </c>
      <c r="O124" t="str">
        <f t="shared" si="10"/>
        <v>Yes</v>
      </c>
      <c r="P124" t="str">
        <f t="shared" si="10"/>
        <v>No</v>
      </c>
      <c r="Q124" t="str">
        <f t="shared" si="10"/>
        <v>No</v>
      </c>
    </row>
    <row r="125" spans="1:17">
      <c r="A125">
        <v>242197</v>
      </c>
      <c r="B125" t="s">
        <v>1312</v>
      </c>
      <c r="C125" t="s">
        <v>1313</v>
      </c>
      <c r="D125" s="357">
        <v>41109</v>
      </c>
      <c r="E125" t="s">
        <v>1314</v>
      </c>
      <c r="H125" t="s">
        <v>1315</v>
      </c>
      <c r="I125" t="s">
        <v>1316</v>
      </c>
      <c r="J125" s="357">
        <f t="shared" si="6"/>
        <v>42201</v>
      </c>
      <c r="K125" t="str">
        <f t="shared" si="7"/>
        <v>No</v>
      </c>
      <c r="L125" t="str">
        <f t="shared" si="8"/>
        <v>Yes</v>
      </c>
      <c r="M125" t="str">
        <f t="shared" si="9"/>
        <v>No</v>
      </c>
      <c r="N125" t="str">
        <f t="shared" si="10"/>
        <v>No</v>
      </c>
      <c r="O125" t="str">
        <f t="shared" si="10"/>
        <v>Yes</v>
      </c>
      <c r="P125" t="str">
        <f t="shared" si="10"/>
        <v>No</v>
      </c>
      <c r="Q125" t="str">
        <f t="shared" si="10"/>
        <v>No</v>
      </c>
    </row>
    <row r="126" spans="1:17">
      <c r="A126">
        <v>242198</v>
      </c>
      <c r="B126" t="s">
        <v>1086</v>
      </c>
      <c r="C126" t="s">
        <v>1258</v>
      </c>
      <c r="D126" s="357">
        <v>41115</v>
      </c>
      <c r="E126" t="s">
        <v>1220</v>
      </c>
      <c r="F126">
        <v>125</v>
      </c>
      <c r="H126" t="s">
        <v>1221</v>
      </c>
      <c r="I126" t="s">
        <v>1189</v>
      </c>
      <c r="J126" s="357">
        <f t="shared" si="6"/>
        <v>42207</v>
      </c>
      <c r="K126" t="str">
        <f t="shared" si="7"/>
        <v>No</v>
      </c>
      <c r="L126" t="str">
        <f t="shared" si="8"/>
        <v>Yes</v>
      </c>
      <c r="M126" t="str">
        <f t="shared" si="9"/>
        <v>No</v>
      </c>
      <c r="N126" t="str">
        <f t="shared" si="10"/>
        <v>No</v>
      </c>
      <c r="O126" t="str">
        <f t="shared" si="10"/>
        <v>Yes</v>
      </c>
      <c r="P126" t="str">
        <f t="shared" si="10"/>
        <v>No</v>
      </c>
      <c r="Q126" t="str">
        <f t="shared" si="10"/>
        <v>No</v>
      </c>
    </row>
    <row r="127" spans="1:17">
      <c r="A127">
        <v>242217</v>
      </c>
      <c r="B127" t="s">
        <v>1112</v>
      </c>
      <c r="C127" t="s">
        <v>1317</v>
      </c>
      <c r="D127" s="357">
        <v>41156</v>
      </c>
      <c r="E127" t="s">
        <v>1318</v>
      </c>
      <c r="F127">
        <v>125</v>
      </c>
      <c r="H127" t="s">
        <v>1089</v>
      </c>
      <c r="I127" t="s">
        <v>1090</v>
      </c>
      <c r="J127" s="357">
        <f t="shared" si="6"/>
        <v>42248</v>
      </c>
      <c r="K127" t="str">
        <f t="shared" si="7"/>
        <v>No</v>
      </c>
      <c r="L127" t="str">
        <f t="shared" si="8"/>
        <v>No</v>
      </c>
      <c r="M127" t="str">
        <f t="shared" si="9"/>
        <v>Yes</v>
      </c>
      <c r="N127" t="str">
        <f t="shared" si="10"/>
        <v>No</v>
      </c>
      <c r="O127" t="str">
        <f t="shared" si="10"/>
        <v>No</v>
      </c>
      <c r="P127" t="str">
        <f t="shared" si="10"/>
        <v>Yes</v>
      </c>
      <c r="Q127" t="str">
        <f t="shared" si="10"/>
        <v>No</v>
      </c>
    </row>
    <row r="128" spans="1:17">
      <c r="A128">
        <v>242218</v>
      </c>
      <c r="B128" t="s">
        <v>1112</v>
      </c>
      <c r="C128" t="s">
        <v>1317</v>
      </c>
      <c r="D128" s="357">
        <v>41156</v>
      </c>
      <c r="E128" t="s">
        <v>1319</v>
      </c>
      <c r="F128">
        <v>125</v>
      </c>
      <c r="H128" t="s">
        <v>1320</v>
      </c>
      <c r="I128" t="s">
        <v>1321</v>
      </c>
      <c r="J128" s="357">
        <f t="shared" si="6"/>
        <v>42248</v>
      </c>
      <c r="K128" t="str">
        <f t="shared" si="7"/>
        <v>No</v>
      </c>
      <c r="L128" t="str">
        <f t="shared" si="8"/>
        <v>No</v>
      </c>
      <c r="M128" t="str">
        <f t="shared" si="9"/>
        <v>Yes</v>
      </c>
      <c r="N128" t="str">
        <f t="shared" si="10"/>
        <v>No</v>
      </c>
      <c r="O128" t="str">
        <f t="shared" si="10"/>
        <v>No</v>
      </c>
      <c r="P128" t="str">
        <f t="shared" si="10"/>
        <v>Yes</v>
      </c>
      <c r="Q128" t="str">
        <f t="shared" si="10"/>
        <v>No</v>
      </c>
    </row>
    <row r="129" spans="1:17">
      <c r="A129">
        <v>242219</v>
      </c>
      <c r="B129" t="s">
        <v>1112</v>
      </c>
      <c r="C129" t="s">
        <v>1317</v>
      </c>
      <c r="D129" s="357">
        <v>41156</v>
      </c>
      <c r="E129" t="s">
        <v>1322</v>
      </c>
      <c r="F129">
        <v>125</v>
      </c>
      <c r="H129" t="s">
        <v>1323</v>
      </c>
      <c r="I129" t="s">
        <v>1216</v>
      </c>
      <c r="J129" s="357">
        <f t="shared" si="6"/>
        <v>42248</v>
      </c>
      <c r="K129" t="str">
        <f t="shared" si="7"/>
        <v>No</v>
      </c>
      <c r="L129" t="str">
        <f t="shared" si="8"/>
        <v>No</v>
      </c>
      <c r="M129" t="str">
        <f t="shared" si="9"/>
        <v>Yes</v>
      </c>
      <c r="N129" t="str">
        <f t="shared" si="10"/>
        <v>No</v>
      </c>
      <c r="O129" t="str">
        <f t="shared" si="10"/>
        <v>No</v>
      </c>
      <c r="P129" t="str">
        <f t="shared" si="10"/>
        <v>Yes</v>
      </c>
      <c r="Q129" t="str">
        <f t="shared" si="10"/>
        <v>No</v>
      </c>
    </row>
    <row r="130" spans="1:17">
      <c r="A130">
        <v>242220</v>
      </c>
      <c r="B130" t="s">
        <v>1112</v>
      </c>
      <c r="C130" t="s">
        <v>1317</v>
      </c>
      <c r="D130" s="357">
        <v>41157</v>
      </c>
      <c r="E130" t="s">
        <v>1324</v>
      </c>
      <c r="F130">
        <v>125</v>
      </c>
      <c r="H130" t="s">
        <v>1325</v>
      </c>
      <c r="I130" t="s">
        <v>1111</v>
      </c>
      <c r="J130" s="357">
        <f t="shared" si="6"/>
        <v>42249</v>
      </c>
      <c r="K130" t="str">
        <f t="shared" si="7"/>
        <v>No</v>
      </c>
      <c r="L130" t="str">
        <f t="shared" si="8"/>
        <v>No</v>
      </c>
      <c r="M130" t="str">
        <f t="shared" si="9"/>
        <v>Yes</v>
      </c>
      <c r="N130" t="str">
        <f t="shared" si="10"/>
        <v>No</v>
      </c>
      <c r="O130" t="str">
        <f t="shared" si="10"/>
        <v>No</v>
      </c>
      <c r="P130" t="str">
        <f t="shared" si="10"/>
        <v>Yes</v>
      </c>
      <c r="Q130" t="str">
        <f t="shared" ref="Q130:Q169" si="11">N130</f>
        <v>No</v>
      </c>
    </row>
    <row r="131" spans="1:17">
      <c r="A131">
        <v>242221</v>
      </c>
      <c r="B131" t="s">
        <v>1112</v>
      </c>
      <c r="C131" t="s">
        <v>1317</v>
      </c>
      <c r="D131" s="357">
        <v>41157</v>
      </c>
      <c r="E131" t="s">
        <v>1281</v>
      </c>
      <c r="F131">
        <v>125</v>
      </c>
      <c r="H131" t="s">
        <v>1326</v>
      </c>
      <c r="I131" t="s">
        <v>1111</v>
      </c>
      <c r="J131" s="357">
        <f t="shared" ref="J131:J169" si="12">D131+1092</f>
        <v>42249</v>
      </c>
      <c r="K131" t="str">
        <f t="shared" ref="K131:K169" si="13">IF(D131+1095&lt;=$K$1,"Yes","No")</f>
        <v>No</v>
      </c>
      <c r="L131" t="str">
        <f t="shared" ref="L131:L169" si="14">IF(AND($D131+1095&lt;=$L$1,$D131+1095&gt;=K$1),"Yes","No")</f>
        <v>No</v>
      </c>
      <c r="M131" t="str">
        <f t="shared" ref="M131:M169" si="15">IF(AND($D131+1095&lt;=$M$1,$D131+1095&gt;=L$1),"Yes","No")</f>
        <v>Yes</v>
      </c>
      <c r="N131" t="str">
        <f t="shared" ref="N131:P169" si="16">K131</f>
        <v>No</v>
      </c>
      <c r="O131" t="str">
        <f t="shared" si="16"/>
        <v>No</v>
      </c>
      <c r="P131" t="str">
        <f t="shared" si="16"/>
        <v>Yes</v>
      </c>
      <c r="Q131" t="str">
        <f t="shared" si="11"/>
        <v>No</v>
      </c>
    </row>
    <row r="132" spans="1:17">
      <c r="A132">
        <v>242222</v>
      </c>
      <c r="B132" t="s">
        <v>1112</v>
      </c>
      <c r="C132" t="s">
        <v>1317</v>
      </c>
      <c r="D132" s="357">
        <v>41157</v>
      </c>
      <c r="E132" t="s">
        <v>1196</v>
      </c>
      <c r="F132">
        <v>125</v>
      </c>
      <c r="H132" t="s">
        <v>1327</v>
      </c>
      <c r="I132" t="s">
        <v>1108</v>
      </c>
      <c r="J132" s="357">
        <f t="shared" si="12"/>
        <v>42249</v>
      </c>
      <c r="K132" t="str">
        <f t="shared" si="13"/>
        <v>No</v>
      </c>
      <c r="L132" t="str">
        <f t="shared" si="14"/>
        <v>No</v>
      </c>
      <c r="M132" t="str">
        <f t="shared" si="15"/>
        <v>Yes</v>
      </c>
      <c r="N132" t="str">
        <f t="shared" si="16"/>
        <v>No</v>
      </c>
      <c r="O132" t="str">
        <f t="shared" si="16"/>
        <v>No</v>
      </c>
      <c r="P132" t="str">
        <f t="shared" si="16"/>
        <v>Yes</v>
      </c>
      <c r="Q132" t="str">
        <f t="shared" si="11"/>
        <v>No</v>
      </c>
    </row>
    <row r="133" spans="1:17">
      <c r="A133">
        <v>242223</v>
      </c>
      <c r="B133" t="s">
        <v>1112</v>
      </c>
      <c r="C133" t="s">
        <v>1317</v>
      </c>
      <c r="D133" s="357">
        <v>41158</v>
      </c>
      <c r="E133" t="s">
        <v>1328</v>
      </c>
      <c r="F133">
        <v>125</v>
      </c>
      <c r="H133" t="s">
        <v>1329</v>
      </c>
      <c r="I133" t="s">
        <v>1108</v>
      </c>
      <c r="J133" s="357">
        <f t="shared" si="12"/>
        <v>42250</v>
      </c>
      <c r="K133" t="str">
        <f t="shared" si="13"/>
        <v>No</v>
      </c>
      <c r="L133" t="str">
        <f t="shared" si="14"/>
        <v>No</v>
      </c>
      <c r="M133" t="str">
        <f t="shared" si="15"/>
        <v>Yes</v>
      </c>
      <c r="N133" t="str">
        <f t="shared" si="16"/>
        <v>No</v>
      </c>
      <c r="O133" t="str">
        <f t="shared" si="16"/>
        <v>No</v>
      </c>
      <c r="P133" t="str">
        <f t="shared" si="16"/>
        <v>Yes</v>
      </c>
      <c r="Q133" t="str">
        <f t="shared" si="11"/>
        <v>No</v>
      </c>
    </row>
    <row r="134" spans="1:17">
      <c r="A134">
        <v>242224</v>
      </c>
      <c r="B134" t="s">
        <v>1112</v>
      </c>
      <c r="C134" t="s">
        <v>1317</v>
      </c>
      <c r="D134" s="357">
        <v>41158</v>
      </c>
      <c r="E134" t="s">
        <v>1330</v>
      </c>
      <c r="F134">
        <v>125</v>
      </c>
      <c r="H134" t="s">
        <v>1331</v>
      </c>
      <c r="I134" t="s">
        <v>1111</v>
      </c>
      <c r="J134" s="357">
        <f t="shared" si="12"/>
        <v>42250</v>
      </c>
      <c r="K134" t="str">
        <f t="shared" si="13"/>
        <v>No</v>
      </c>
      <c r="L134" t="str">
        <f t="shared" si="14"/>
        <v>No</v>
      </c>
      <c r="M134" t="str">
        <f t="shared" si="15"/>
        <v>Yes</v>
      </c>
      <c r="N134" t="str">
        <f t="shared" si="16"/>
        <v>No</v>
      </c>
      <c r="O134" t="str">
        <f t="shared" si="16"/>
        <v>No</v>
      </c>
      <c r="P134" t="str">
        <f t="shared" si="16"/>
        <v>Yes</v>
      </c>
      <c r="Q134" t="str">
        <f t="shared" si="11"/>
        <v>No</v>
      </c>
    </row>
    <row r="135" spans="1:17">
      <c r="A135">
        <v>242226</v>
      </c>
      <c r="B135" t="s">
        <v>1112</v>
      </c>
      <c r="C135" t="s">
        <v>1317</v>
      </c>
      <c r="D135" s="357">
        <v>41159</v>
      </c>
      <c r="E135" t="s">
        <v>1332</v>
      </c>
      <c r="F135">
        <v>125</v>
      </c>
      <c r="H135" t="s">
        <v>1147</v>
      </c>
      <c r="I135" t="s">
        <v>1111</v>
      </c>
      <c r="J135" s="357">
        <f t="shared" si="12"/>
        <v>42251</v>
      </c>
      <c r="K135" t="str">
        <f t="shared" si="13"/>
        <v>No</v>
      </c>
      <c r="L135" t="str">
        <f t="shared" si="14"/>
        <v>No</v>
      </c>
      <c r="M135" t="str">
        <f t="shared" si="15"/>
        <v>Yes</v>
      </c>
      <c r="N135" t="str">
        <f t="shared" si="16"/>
        <v>No</v>
      </c>
      <c r="O135" t="str">
        <f t="shared" si="16"/>
        <v>No</v>
      </c>
      <c r="P135" t="str">
        <f t="shared" si="16"/>
        <v>Yes</v>
      </c>
      <c r="Q135" t="str">
        <f t="shared" si="11"/>
        <v>No</v>
      </c>
    </row>
    <row r="136" spans="1:17">
      <c r="A136">
        <v>242266</v>
      </c>
      <c r="B136" t="s">
        <v>1112</v>
      </c>
      <c r="C136" t="s">
        <v>1317</v>
      </c>
      <c r="D136" s="357">
        <v>41166</v>
      </c>
      <c r="E136" t="s">
        <v>1319</v>
      </c>
      <c r="F136">
        <v>125</v>
      </c>
      <c r="H136" t="s">
        <v>1333</v>
      </c>
      <c r="I136" t="s">
        <v>1111</v>
      </c>
      <c r="J136" s="357">
        <f t="shared" si="12"/>
        <v>42258</v>
      </c>
      <c r="K136" t="str">
        <f t="shared" si="13"/>
        <v>No</v>
      </c>
      <c r="L136" t="str">
        <f t="shared" si="14"/>
        <v>No</v>
      </c>
      <c r="M136" t="str">
        <f t="shared" si="15"/>
        <v>Yes</v>
      </c>
      <c r="N136" t="str">
        <f t="shared" si="16"/>
        <v>No</v>
      </c>
      <c r="O136" t="str">
        <f t="shared" si="16"/>
        <v>No</v>
      </c>
      <c r="P136" t="str">
        <f t="shared" si="16"/>
        <v>Yes</v>
      </c>
      <c r="Q136" t="str">
        <f t="shared" si="11"/>
        <v>No</v>
      </c>
    </row>
    <row r="137" spans="1:17">
      <c r="A137">
        <v>242267</v>
      </c>
      <c r="B137" t="s">
        <v>1112</v>
      </c>
      <c r="C137" t="s">
        <v>1317</v>
      </c>
      <c r="D137" s="357">
        <v>41166</v>
      </c>
      <c r="E137" t="s">
        <v>1334</v>
      </c>
      <c r="F137">
        <v>125</v>
      </c>
      <c r="H137" t="s">
        <v>1335</v>
      </c>
      <c r="I137" t="s">
        <v>1111</v>
      </c>
      <c r="J137" s="357">
        <f t="shared" si="12"/>
        <v>42258</v>
      </c>
      <c r="K137" t="str">
        <f t="shared" si="13"/>
        <v>No</v>
      </c>
      <c r="L137" t="str">
        <f t="shared" si="14"/>
        <v>No</v>
      </c>
      <c r="M137" t="str">
        <f t="shared" si="15"/>
        <v>Yes</v>
      </c>
      <c r="N137" t="str">
        <f t="shared" si="16"/>
        <v>No</v>
      </c>
      <c r="O137" t="str">
        <f t="shared" si="16"/>
        <v>No</v>
      </c>
      <c r="P137" t="str">
        <f t="shared" si="16"/>
        <v>Yes</v>
      </c>
      <c r="Q137" t="str">
        <f t="shared" si="11"/>
        <v>No</v>
      </c>
    </row>
    <row r="138" spans="1:17">
      <c r="A138">
        <v>242268</v>
      </c>
      <c r="B138" t="s">
        <v>1112</v>
      </c>
      <c r="C138" t="s">
        <v>1317</v>
      </c>
      <c r="D138" s="357">
        <v>41170</v>
      </c>
      <c r="E138" t="s">
        <v>1336</v>
      </c>
      <c r="F138">
        <v>125</v>
      </c>
      <c r="H138" t="s">
        <v>1337</v>
      </c>
      <c r="I138" t="s">
        <v>1272</v>
      </c>
      <c r="J138" s="357">
        <f t="shared" si="12"/>
        <v>42262</v>
      </c>
      <c r="K138" t="str">
        <f t="shared" si="13"/>
        <v>No</v>
      </c>
      <c r="L138" t="str">
        <f t="shared" si="14"/>
        <v>No</v>
      </c>
      <c r="M138" t="str">
        <f t="shared" si="15"/>
        <v>Yes</v>
      </c>
      <c r="N138" t="str">
        <f t="shared" si="16"/>
        <v>No</v>
      </c>
      <c r="O138" t="str">
        <f t="shared" si="16"/>
        <v>No</v>
      </c>
      <c r="P138" t="str">
        <f t="shared" si="16"/>
        <v>Yes</v>
      </c>
      <c r="Q138" t="str">
        <f t="shared" si="11"/>
        <v>No</v>
      </c>
    </row>
    <row r="139" spans="1:17">
      <c r="A139">
        <v>242270</v>
      </c>
      <c r="B139" t="s">
        <v>1112</v>
      </c>
      <c r="C139" t="s">
        <v>1317</v>
      </c>
      <c r="D139" s="357">
        <v>41172</v>
      </c>
      <c r="E139" t="s">
        <v>1338</v>
      </c>
      <c r="F139">
        <v>125</v>
      </c>
      <c r="H139" t="s">
        <v>1339</v>
      </c>
      <c r="I139" t="s">
        <v>1095</v>
      </c>
      <c r="J139" s="357">
        <f t="shared" si="12"/>
        <v>42264</v>
      </c>
      <c r="K139" t="str">
        <f t="shared" si="13"/>
        <v>No</v>
      </c>
      <c r="L139" t="str">
        <f t="shared" si="14"/>
        <v>No</v>
      </c>
      <c r="M139" t="str">
        <f t="shared" si="15"/>
        <v>Yes</v>
      </c>
      <c r="N139" t="str">
        <f t="shared" si="16"/>
        <v>No</v>
      </c>
      <c r="O139" t="str">
        <f t="shared" si="16"/>
        <v>No</v>
      </c>
      <c r="P139" t="str">
        <f t="shared" si="16"/>
        <v>Yes</v>
      </c>
      <c r="Q139" t="str">
        <f t="shared" si="11"/>
        <v>No</v>
      </c>
    </row>
    <row r="140" spans="1:17">
      <c r="A140">
        <v>242272</v>
      </c>
      <c r="B140" t="s">
        <v>1112</v>
      </c>
      <c r="C140" t="s">
        <v>1317</v>
      </c>
      <c r="D140" s="357">
        <v>41172</v>
      </c>
      <c r="E140" t="s">
        <v>1340</v>
      </c>
      <c r="F140">
        <v>125</v>
      </c>
      <c r="H140" t="s">
        <v>1341</v>
      </c>
      <c r="I140" t="s">
        <v>1342</v>
      </c>
      <c r="J140" s="357">
        <f t="shared" si="12"/>
        <v>42264</v>
      </c>
      <c r="K140" t="str">
        <f t="shared" si="13"/>
        <v>No</v>
      </c>
      <c r="L140" t="str">
        <f t="shared" si="14"/>
        <v>No</v>
      </c>
      <c r="M140" t="str">
        <f t="shared" si="15"/>
        <v>Yes</v>
      </c>
      <c r="N140" t="str">
        <f t="shared" si="16"/>
        <v>No</v>
      </c>
      <c r="O140" t="str">
        <f t="shared" si="16"/>
        <v>No</v>
      </c>
      <c r="P140" t="str">
        <f t="shared" si="16"/>
        <v>Yes</v>
      </c>
      <c r="Q140" t="str">
        <f t="shared" si="11"/>
        <v>No</v>
      </c>
    </row>
    <row r="141" spans="1:17">
      <c r="A141">
        <v>242274</v>
      </c>
      <c r="B141" t="s">
        <v>1112</v>
      </c>
      <c r="C141" t="s">
        <v>1317</v>
      </c>
      <c r="D141" s="357">
        <v>41173</v>
      </c>
      <c r="E141" t="s">
        <v>1343</v>
      </c>
      <c r="F141">
        <v>125</v>
      </c>
      <c r="H141" t="s">
        <v>1344</v>
      </c>
      <c r="I141" t="s">
        <v>1090</v>
      </c>
      <c r="J141" s="357">
        <f t="shared" si="12"/>
        <v>42265</v>
      </c>
      <c r="K141" t="str">
        <f t="shared" si="13"/>
        <v>No</v>
      </c>
      <c r="L141" t="str">
        <f t="shared" si="14"/>
        <v>No</v>
      </c>
      <c r="M141" t="str">
        <f t="shared" si="15"/>
        <v>Yes</v>
      </c>
      <c r="N141" t="str">
        <f t="shared" si="16"/>
        <v>No</v>
      </c>
      <c r="O141" t="str">
        <f t="shared" si="16"/>
        <v>No</v>
      </c>
      <c r="P141" t="str">
        <f t="shared" si="16"/>
        <v>Yes</v>
      </c>
      <c r="Q141" t="str">
        <f t="shared" si="11"/>
        <v>No</v>
      </c>
    </row>
    <row r="142" spans="1:17">
      <c r="A142">
        <v>242286</v>
      </c>
      <c r="B142" t="s">
        <v>1303</v>
      </c>
      <c r="C142" t="s">
        <v>1345</v>
      </c>
      <c r="D142" s="357">
        <v>41185</v>
      </c>
      <c r="E142" t="s">
        <v>1295</v>
      </c>
      <c r="F142">
        <v>125</v>
      </c>
      <c r="H142" t="s">
        <v>1346</v>
      </c>
      <c r="I142" t="s">
        <v>1294</v>
      </c>
      <c r="J142" s="357">
        <f t="shared" si="12"/>
        <v>42277</v>
      </c>
      <c r="K142" t="str">
        <f t="shared" si="13"/>
        <v>No</v>
      </c>
      <c r="L142" t="str">
        <f t="shared" si="14"/>
        <v>No</v>
      </c>
      <c r="M142" t="str">
        <f t="shared" si="15"/>
        <v>Yes</v>
      </c>
      <c r="N142" t="str">
        <f t="shared" si="16"/>
        <v>No</v>
      </c>
      <c r="O142" t="str">
        <f t="shared" si="16"/>
        <v>No</v>
      </c>
      <c r="P142" t="str">
        <f t="shared" si="16"/>
        <v>Yes</v>
      </c>
      <c r="Q142" t="str">
        <f t="shared" si="11"/>
        <v>No</v>
      </c>
    </row>
    <row r="143" spans="1:17">
      <c r="A143">
        <v>242287</v>
      </c>
      <c r="B143" t="s">
        <v>1303</v>
      </c>
      <c r="C143" t="s">
        <v>1122</v>
      </c>
      <c r="D143" s="357">
        <v>41185</v>
      </c>
      <c r="E143" t="s">
        <v>1314</v>
      </c>
      <c r="F143">
        <v>125</v>
      </c>
      <c r="H143" t="s">
        <v>1315</v>
      </c>
      <c r="I143" t="s">
        <v>1090</v>
      </c>
      <c r="J143" s="357">
        <f t="shared" si="12"/>
        <v>42277</v>
      </c>
      <c r="K143" t="str">
        <f t="shared" si="13"/>
        <v>No</v>
      </c>
      <c r="L143" t="str">
        <f t="shared" si="14"/>
        <v>No</v>
      </c>
      <c r="M143" t="str">
        <f t="shared" si="15"/>
        <v>Yes</v>
      </c>
      <c r="N143" t="str">
        <f t="shared" si="16"/>
        <v>No</v>
      </c>
      <c r="O143" t="str">
        <f t="shared" si="16"/>
        <v>No</v>
      </c>
      <c r="P143" t="str">
        <f t="shared" si="16"/>
        <v>Yes</v>
      </c>
      <c r="Q143" t="str">
        <f t="shared" si="11"/>
        <v>No</v>
      </c>
    </row>
    <row r="144" spans="1:17">
      <c r="A144">
        <v>242298</v>
      </c>
      <c r="B144" t="s">
        <v>1086</v>
      </c>
      <c r="C144" t="s">
        <v>1347</v>
      </c>
      <c r="D144" s="357">
        <v>41218</v>
      </c>
      <c r="E144" t="s">
        <v>1156</v>
      </c>
      <c r="F144">
        <v>125</v>
      </c>
      <c r="H144" t="s">
        <v>1348</v>
      </c>
      <c r="I144" t="s">
        <v>1158</v>
      </c>
      <c r="J144" s="357">
        <f t="shared" si="12"/>
        <v>42310</v>
      </c>
      <c r="K144" t="str">
        <f t="shared" si="13"/>
        <v>No</v>
      </c>
      <c r="L144" t="str">
        <f t="shared" si="14"/>
        <v>No</v>
      </c>
      <c r="M144" t="str">
        <f t="shared" si="15"/>
        <v>Yes</v>
      </c>
      <c r="N144" t="str">
        <f t="shared" si="16"/>
        <v>No</v>
      </c>
      <c r="O144" t="str">
        <f t="shared" si="16"/>
        <v>No</v>
      </c>
      <c r="P144" t="str">
        <f t="shared" si="16"/>
        <v>Yes</v>
      </c>
      <c r="Q144" t="str">
        <f t="shared" si="11"/>
        <v>No</v>
      </c>
    </row>
    <row r="145" spans="1:17">
      <c r="A145">
        <v>242299</v>
      </c>
      <c r="B145" t="s">
        <v>1086</v>
      </c>
      <c r="C145" t="s">
        <v>1347</v>
      </c>
      <c r="D145" s="357">
        <v>41220</v>
      </c>
      <c r="E145" t="s">
        <v>1308</v>
      </c>
      <c r="F145">
        <v>125</v>
      </c>
      <c r="H145" t="s">
        <v>1309</v>
      </c>
      <c r="I145" t="s">
        <v>1173</v>
      </c>
      <c r="J145" s="357">
        <f t="shared" si="12"/>
        <v>42312</v>
      </c>
      <c r="K145" t="str">
        <f t="shared" si="13"/>
        <v>No</v>
      </c>
      <c r="L145" t="str">
        <f t="shared" si="14"/>
        <v>No</v>
      </c>
      <c r="M145" t="str">
        <f t="shared" si="15"/>
        <v>Yes</v>
      </c>
      <c r="N145" t="str">
        <f t="shared" si="16"/>
        <v>No</v>
      </c>
      <c r="O145" t="str">
        <f t="shared" si="16"/>
        <v>No</v>
      </c>
      <c r="P145" t="str">
        <f t="shared" si="16"/>
        <v>Yes</v>
      </c>
      <c r="Q145" t="str">
        <f t="shared" si="11"/>
        <v>No</v>
      </c>
    </row>
    <row r="146" spans="1:17">
      <c r="A146">
        <v>242303</v>
      </c>
      <c r="B146" t="s">
        <v>1086</v>
      </c>
      <c r="C146" t="s">
        <v>1347</v>
      </c>
      <c r="D146" s="357">
        <v>41220</v>
      </c>
      <c r="E146" t="s">
        <v>1197</v>
      </c>
      <c r="F146">
        <v>125</v>
      </c>
      <c r="H146" t="s">
        <v>1198</v>
      </c>
      <c r="I146" t="s">
        <v>1108</v>
      </c>
      <c r="J146" s="357">
        <f t="shared" si="12"/>
        <v>42312</v>
      </c>
      <c r="K146" t="str">
        <f t="shared" si="13"/>
        <v>No</v>
      </c>
      <c r="L146" t="str">
        <f t="shared" si="14"/>
        <v>No</v>
      </c>
      <c r="M146" t="str">
        <f t="shared" si="15"/>
        <v>Yes</v>
      </c>
      <c r="N146" t="str">
        <f t="shared" si="16"/>
        <v>No</v>
      </c>
      <c r="O146" t="str">
        <f t="shared" si="16"/>
        <v>No</v>
      </c>
      <c r="P146" t="str">
        <f t="shared" si="16"/>
        <v>Yes</v>
      </c>
      <c r="Q146" t="str">
        <f t="shared" si="11"/>
        <v>No</v>
      </c>
    </row>
    <row r="147" spans="1:17">
      <c r="A147">
        <v>242305</v>
      </c>
      <c r="B147" t="s">
        <v>1112</v>
      </c>
      <c r="C147" t="s">
        <v>1349</v>
      </c>
      <c r="D147" s="357">
        <v>41227</v>
      </c>
      <c r="E147" t="s">
        <v>1350</v>
      </c>
      <c r="F147">
        <v>125</v>
      </c>
      <c r="H147" t="s">
        <v>1351</v>
      </c>
      <c r="I147" t="s">
        <v>1111</v>
      </c>
      <c r="J147" s="357">
        <f t="shared" si="12"/>
        <v>42319</v>
      </c>
      <c r="K147" t="str">
        <f t="shared" si="13"/>
        <v>No</v>
      </c>
      <c r="L147" t="str">
        <f t="shared" si="14"/>
        <v>No</v>
      </c>
      <c r="M147" t="str">
        <f t="shared" si="15"/>
        <v>Yes</v>
      </c>
      <c r="N147" t="str">
        <f t="shared" si="16"/>
        <v>No</v>
      </c>
      <c r="O147" t="str">
        <f t="shared" si="16"/>
        <v>No</v>
      </c>
      <c r="P147" t="str">
        <f t="shared" si="16"/>
        <v>Yes</v>
      </c>
      <c r="Q147" t="str">
        <f t="shared" si="11"/>
        <v>No</v>
      </c>
    </row>
    <row r="148" spans="1:17">
      <c r="A148">
        <v>242306</v>
      </c>
      <c r="B148" t="s">
        <v>1086</v>
      </c>
      <c r="C148" t="s">
        <v>1347</v>
      </c>
      <c r="D148" s="357">
        <v>41227</v>
      </c>
      <c r="E148" t="s">
        <v>1109</v>
      </c>
      <c r="F148">
        <v>125</v>
      </c>
      <c r="H148" t="s">
        <v>1352</v>
      </c>
      <c r="I148" t="s">
        <v>1111</v>
      </c>
      <c r="J148" s="357">
        <f t="shared" si="12"/>
        <v>42319</v>
      </c>
      <c r="K148" t="str">
        <f t="shared" si="13"/>
        <v>No</v>
      </c>
      <c r="L148" t="str">
        <f t="shared" si="14"/>
        <v>No</v>
      </c>
      <c r="M148" t="str">
        <f t="shared" si="15"/>
        <v>Yes</v>
      </c>
      <c r="N148" t="str">
        <f t="shared" si="16"/>
        <v>No</v>
      </c>
      <c r="O148" t="str">
        <f t="shared" si="16"/>
        <v>No</v>
      </c>
      <c r="P148" t="str">
        <f t="shared" si="16"/>
        <v>Yes</v>
      </c>
      <c r="Q148" t="str">
        <f t="shared" si="11"/>
        <v>No</v>
      </c>
    </row>
    <row r="149" spans="1:17">
      <c r="A149">
        <v>242304</v>
      </c>
      <c r="B149" t="s">
        <v>1086</v>
      </c>
      <c r="C149" t="s">
        <v>1347</v>
      </c>
      <c r="D149" s="357">
        <v>41228</v>
      </c>
      <c r="E149" t="s">
        <v>1353</v>
      </c>
      <c r="F149">
        <v>125</v>
      </c>
      <c r="H149" t="s">
        <v>1354</v>
      </c>
      <c r="I149" t="s">
        <v>1095</v>
      </c>
      <c r="J149" s="357">
        <f t="shared" si="12"/>
        <v>42320</v>
      </c>
      <c r="K149" t="str">
        <f t="shared" si="13"/>
        <v>No</v>
      </c>
      <c r="L149" t="str">
        <f t="shared" si="14"/>
        <v>No</v>
      </c>
      <c r="M149" t="str">
        <f t="shared" si="15"/>
        <v>Yes</v>
      </c>
      <c r="N149" t="str">
        <f t="shared" si="16"/>
        <v>No</v>
      </c>
      <c r="O149" t="str">
        <f t="shared" si="16"/>
        <v>No</v>
      </c>
      <c r="P149" t="str">
        <f t="shared" si="16"/>
        <v>Yes</v>
      </c>
      <c r="Q149" t="str">
        <f t="shared" si="11"/>
        <v>No</v>
      </c>
    </row>
    <row r="150" spans="1:17">
      <c r="A150">
        <v>241787</v>
      </c>
      <c r="B150" t="s">
        <v>1112</v>
      </c>
      <c r="C150" t="s">
        <v>1355</v>
      </c>
      <c r="D150" s="357">
        <v>41232</v>
      </c>
      <c r="E150" t="s">
        <v>1270</v>
      </c>
      <c r="F150">
        <v>125</v>
      </c>
      <c r="H150" t="s">
        <v>1271</v>
      </c>
      <c r="I150" t="s">
        <v>1272</v>
      </c>
      <c r="J150" s="357">
        <f t="shared" si="12"/>
        <v>42324</v>
      </c>
      <c r="K150" t="str">
        <f t="shared" si="13"/>
        <v>No</v>
      </c>
      <c r="L150" t="str">
        <f t="shared" si="14"/>
        <v>No</v>
      </c>
      <c r="M150" t="str">
        <f t="shared" si="15"/>
        <v>Yes</v>
      </c>
      <c r="N150" t="str">
        <f t="shared" si="16"/>
        <v>No</v>
      </c>
      <c r="O150" t="str">
        <f t="shared" si="16"/>
        <v>No</v>
      </c>
      <c r="P150" t="str">
        <f t="shared" si="16"/>
        <v>Yes</v>
      </c>
      <c r="Q150" t="str">
        <f t="shared" si="11"/>
        <v>No</v>
      </c>
    </row>
    <row r="151" spans="1:17">
      <c r="A151">
        <v>242296</v>
      </c>
      <c r="B151" t="s">
        <v>1086</v>
      </c>
      <c r="C151" t="s">
        <v>1347</v>
      </c>
      <c r="D151" s="357">
        <v>41233</v>
      </c>
      <c r="E151" t="s">
        <v>1356</v>
      </c>
      <c r="F151">
        <v>125</v>
      </c>
      <c r="H151" t="s">
        <v>1357</v>
      </c>
      <c r="I151" t="s">
        <v>1222</v>
      </c>
      <c r="J151" s="357">
        <f t="shared" si="12"/>
        <v>42325</v>
      </c>
      <c r="K151" t="str">
        <f t="shared" si="13"/>
        <v>No</v>
      </c>
      <c r="L151" t="str">
        <f t="shared" si="14"/>
        <v>No</v>
      </c>
      <c r="M151" t="str">
        <f t="shared" si="15"/>
        <v>Yes</v>
      </c>
      <c r="N151" t="str">
        <f t="shared" si="16"/>
        <v>No</v>
      </c>
      <c r="O151" t="str">
        <f t="shared" si="16"/>
        <v>No</v>
      </c>
      <c r="P151" t="str">
        <f t="shared" si="16"/>
        <v>Yes</v>
      </c>
      <c r="Q151" t="str">
        <f t="shared" si="11"/>
        <v>No</v>
      </c>
    </row>
    <row r="152" spans="1:17">
      <c r="A152">
        <v>242313</v>
      </c>
      <c r="B152" t="s">
        <v>1112</v>
      </c>
      <c r="C152" t="s">
        <v>1349</v>
      </c>
      <c r="D152" s="357">
        <v>41277</v>
      </c>
      <c r="E152" t="s">
        <v>1100</v>
      </c>
      <c r="F152">
        <v>125</v>
      </c>
      <c r="H152" t="s">
        <v>1101</v>
      </c>
      <c r="I152" t="s">
        <v>1090</v>
      </c>
      <c r="J152" s="357">
        <f t="shared" si="12"/>
        <v>42369</v>
      </c>
      <c r="K152" t="str">
        <f t="shared" si="13"/>
        <v>No</v>
      </c>
      <c r="L152" t="str">
        <f t="shared" si="14"/>
        <v>No</v>
      </c>
      <c r="M152" t="str">
        <f t="shared" si="15"/>
        <v>Yes</v>
      </c>
      <c r="N152" t="str">
        <f t="shared" si="16"/>
        <v>No</v>
      </c>
      <c r="O152" t="str">
        <f t="shared" si="16"/>
        <v>No</v>
      </c>
      <c r="P152" t="str">
        <f t="shared" si="16"/>
        <v>Yes</v>
      </c>
      <c r="Q152" t="str">
        <f t="shared" si="11"/>
        <v>No</v>
      </c>
    </row>
    <row r="153" spans="1:17">
      <c r="A153">
        <v>242312</v>
      </c>
      <c r="B153" t="s">
        <v>1086</v>
      </c>
      <c r="C153" t="s">
        <v>1347</v>
      </c>
      <c r="D153" s="357">
        <v>41277</v>
      </c>
      <c r="E153" t="s">
        <v>1358</v>
      </c>
      <c r="F153">
        <v>125</v>
      </c>
      <c r="H153" t="s">
        <v>1359</v>
      </c>
      <c r="I153" t="s">
        <v>1222</v>
      </c>
      <c r="J153" s="357">
        <f t="shared" si="12"/>
        <v>42369</v>
      </c>
      <c r="K153" t="str">
        <f t="shared" si="13"/>
        <v>No</v>
      </c>
      <c r="L153" t="str">
        <f t="shared" si="14"/>
        <v>No</v>
      </c>
      <c r="M153" t="str">
        <f t="shared" si="15"/>
        <v>Yes</v>
      </c>
      <c r="N153" t="str">
        <f t="shared" si="16"/>
        <v>No</v>
      </c>
      <c r="O153" t="str">
        <f t="shared" si="16"/>
        <v>No</v>
      </c>
      <c r="P153" t="str">
        <f t="shared" si="16"/>
        <v>Yes</v>
      </c>
      <c r="Q153" t="str">
        <f t="shared" si="11"/>
        <v>No</v>
      </c>
    </row>
    <row r="154" spans="1:17">
      <c r="A154">
        <v>242314</v>
      </c>
      <c r="B154" t="s">
        <v>1360</v>
      </c>
      <c r="C154" t="s">
        <v>1361</v>
      </c>
      <c r="D154" s="357">
        <v>41284</v>
      </c>
      <c r="E154" t="s">
        <v>1186</v>
      </c>
      <c r="F154">
        <v>125</v>
      </c>
      <c r="H154" t="s">
        <v>1136</v>
      </c>
      <c r="I154" t="s">
        <v>1137</v>
      </c>
      <c r="J154" s="357">
        <f t="shared" si="12"/>
        <v>42376</v>
      </c>
      <c r="K154" t="str">
        <f t="shared" si="13"/>
        <v>No</v>
      </c>
      <c r="L154" t="str">
        <f t="shared" si="14"/>
        <v>No</v>
      </c>
      <c r="M154" t="str">
        <f t="shared" si="15"/>
        <v>Yes</v>
      </c>
      <c r="N154" t="str">
        <f t="shared" si="16"/>
        <v>No</v>
      </c>
      <c r="O154" t="str">
        <f t="shared" si="16"/>
        <v>No</v>
      </c>
      <c r="P154" t="str">
        <f t="shared" si="16"/>
        <v>Yes</v>
      </c>
      <c r="Q154" t="str">
        <f t="shared" si="11"/>
        <v>No</v>
      </c>
    </row>
    <row r="155" spans="1:17">
      <c r="A155">
        <v>242308</v>
      </c>
      <c r="B155" t="s">
        <v>1112</v>
      </c>
      <c r="C155" t="s">
        <v>1317</v>
      </c>
      <c r="D155" s="357">
        <v>41298</v>
      </c>
      <c r="E155" t="s">
        <v>1334</v>
      </c>
      <c r="F155">
        <v>125</v>
      </c>
      <c r="H155" t="s">
        <v>1362</v>
      </c>
      <c r="I155" t="s">
        <v>1111</v>
      </c>
      <c r="J155" s="357">
        <f t="shared" si="12"/>
        <v>42390</v>
      </c>
      <c r="K155" t="str">
        <f t="shared" si="13"/>
        <v>No</v>
      </c>
      <c r="L155" t="str">
        <f t="shared" si="14"/>
        <v>No</v>
      </c>
      <c r="M155" t="str">
        <f t="shared" si="15"/>
        <v>Yes</v>
      </c>
      <c r="N155" t="str">
        <f t="shared" si="16"/>
        <v>No</v>
      </c>
      <c r="O155" t="str">
        <f t="shared" si="16"/>
        <v>No</v>
      </c>
      <c r="P155" t="str">
        <f t="shared" si="16"/>
        <v>Yes</v>
      </c>
      <c r="Q155" t="str">
        <f t="shared" si="11"/>
        <v>No</v>
      </c>
    </row>
    <row r="156" spans="1:17">
      <c r="A156">
        <v>242366</v>
      </c>
      <c r="B156" t="s">
        <v>1086</v>
      </c>
      <c r="D156" s="357">
        <v>41311</v>
      </c>
      <c r="E156" t="s">
        <v>1363</v>
      </c>
      <c r="F156">
        <v>125</v>
      </c>
      <c r="H156" t="s">
        <v>1364</v>
      </c>
      <c r="J156" s="357">
        <f t="shared" si="12"/>
        <v>42403</v>
      </c>
      <c r="K156" t="str">
        <f t="shared" si="13"/>
        <v>No</v>
      </c>
      <c r="L156" t="str">
        <f t="shared" si="14"/>
        <v>No</v>
      </c>
      <c r="M156" t="str">
        <f t="shared" si="15"/>
        <v>Yes</v>
      </c>
      <c r="N156" t="str">
        <f t="shared" si="16"/>
        <v>No</v>
      </c>
      <c r="O156" t="str">
        <f t="shared" si="16"/>
        <v>No</v>
      </c>
      <c r="P156" t="str">
        <f t="shared" si="16"/>
        <v>Yes</v>
      </c>
      <c r="Q156" t="str">
        <f t="shared" si="11"/>
        <v>No</v>
      </c>
    </row>
    <row r="157" spans="1:17">
      <c r="A157">
        <v>242367</v>
      </c>
      <c r="B157" t="s">
        <v>1086</v>
      </c>
      <c r="C157" t="s">
        <v>1258</v>
      </c>
      <c r="D157" s="357">
        <v>41311</v>
      </c>
      <c r="E157" t="s">
        <v>1363</v>
      </c>
      <c r="F157">
        <v>125</v>
      </c>
      <c r="H157" t="s">
        <v>1364</v>
      </c>
      <c r="J157" s="357">
        <f t="shared" si="12"/>
        <v>42403</v>
      </c>
      <c r="K157" t="str">
        <f t="shared" si="13"/>
        <v>No</v>
      </c>
      <c r="L157" t="str">
        <f t="shared" si="14"/>
        <v>No</v>
      </c>
      <c r="M157" t="str">
        <f t="shared" si="15"/>
        <v>Yes</v>
      </c>
      <c r="N157" t="str">
        <f t="shared" si="16"/>
        <v>No</v>
      </c>
      <c r="O157" t="str">
        <f t="shared" si="16"/>
        <v>No</v>
      </c>
      <c r="P157" t="str">
        <f t="shared" si="16"/>
        <v>Yes</v>
      </c>
      <c r="Q157" t="str">
        <f t="shared" si="11"/>
        <v>No</v>
      </c>
    </row>
    <row r="158" spans="1:17">
      <c r="A158">
        <v>242369</v>
      </c>
      <c r="B158" t="s">
        <v>1086</v>
      </c>
      <c r="C158" t="s">
        <v>1102</v>
      </c>
      <c r="D158" s="357">
        <v>41311</v>
      </c>
      <c r="E158" t="s">
        <v>1363</v>
      </c>
      <c r="F158">
        <v>125</v>
      </c>
      <c r="H158" t="s">
        <v>1364</v>
      </c>
      <c r="J158" s="357">
        <f t="shared" si="12"/>
        <v>42403</v>
      </c>
      <c r="K158" t="str">
        <f t="shared" si="13"/>
        <v>No</v>
      </c>
      <c r="L158" t="str">
        <f t="shared" si="14"/>
        <v>No</v>
      </c>
      <c r="M158" t="str">
        <f t="shared" si="15"/>
        <v>Yes</v>
      </c>
      <c r="N158" t="str">
        <f t="shared" si="16"/>
        <v>No</v>
      </c>
      <c r="O158" t="str">
        <f t="shared" si="16"/>
        <v>No</v>
      </c>
      <c r="P158" t="str">
        <f t="shared" si="16"/>
        <v>Yes</v>
      </c>
      <c r="Q158" t="str">
        <f t="shared" si="11"/>
        <v>No</v>
      </c>
    </row>
    <row r="159" spans="1:17">
      <c r="A159">
        <v>242392</v>
      </c>
      <c r="B159" t="s">
        <v>1086</v>
      </c>
      <c r="C159" t="s">
        <v>1347</v>
      </c>
      <c r="D159" s="357">
        <v>41313</v>
      </c>
      <c r="E159" t="s">
        <v>1365</v>
      </c>
      <c r="F159">
        <v>125</v>
      </c>
      <c r="H159" t="s">
        <v>1306</v>
      </c>
      <c r="J159" s="357">
        <f t="shared" si="12"/>
        <v>42405</v>
      </c>
      <c r="K159" t="str">
        <f t="shared" si="13"/>
        <v>No</v>
      </c>
      <c r="L159" t="str">
        <f t="shared" si="14"/>
        <v>No</v>
      </c>
      <c r="M159" t="str">
        <f t="shared" si="15"/>
        <v>Yes</v>
      </c>
      <c r="N159" t="str">
        <f t="shared" si="16"/>
        <v>No</v>
      </c>
      <c r="O159" t="str">
        <f t="shared" si="16"/>
        <v>No</v>
      </c>
      <c r="P159" t="str">
        <f t="shared" si="16"/>
        <v>Yes</v>
      </c>
      <c r="Q159" t="str">
        <f t="shared" si="11"/>
        <v>No</v>
      </c>
    </row>
    <row r="160" spans="1:17">
      <c r="A160">
        <v>242400</v>
      </c>
      <c r="B160" t="s">
        <v>1086</v>
      </c>
      <c r="C160" t="s">
        <v>1347</v>
      </c>
      <c r="D160" s="357">
        <v>41316</v>
      </c>
      <c r="E160" t="s">
        <v>1366</v>
      </c>
      <c r="F160">
        <v>125</v>
      </c>
      <c r="H160" t="s">
        <v>1221</v>
      </c>
      <c r="I160" t="s">
        <v>1222</v>
      </c>
      <c r="J160" s="357">
        <f t="shared" si="12"/>
        <v>42408</v>
      </c>
      <c r="K160" t="str">
        <f t="shared" si="13"/>
        <v>No</v>
      </c>
      <c r="L160" t="str">
        <f t="shared" si="14"/>
        <v>No</v>
      </c>
      <c r="M160" t="str">
        <f t="shared" si="15"/>
        <v>Yes</v>
      </c>
      <c r="N160" t="str">
        <f t="shared" si="16"/>
        <v>No</v>
      </c>
      <c r="O160" t="str">
        <f t="shared" si="16"/>
        <v>No</v>
      </c>
      <c r="P160" t="str">
        <f t="shared" si="16"/>
        <v>Yes</v>
      </c>
      <c r="Q160" t="str">
        <f t="shared" si="11"/>
        <v>No</v>
      </c>
    </row>
    <row r="161" spans="1:17">
      <c r="A161">
        <v>242365</v>
      </c>
      <c r="B161" t="s">
        <v>1112</v>
      </c>
      <c r="C161" t="s">
        <v>1317</v>
      </c>
      <c r="D161" s="357">
        <v>41316</v>
      </c>
      <c r="E161" t="s">
        <v>1358</v>
      </c>
      <c r="F161">
        <v>125</v>
      </c>
      <c r="H161" t="s">
        <v>1359</v>
      </c>
      <c r="I161" t="s">
        <v>1222</v>
      </c>
      <c r="J161" s="357">
        <f t="shared" si="12"/>
        <v>42408</v>
      </c>
      <c r="K161" t="str">
        <f t="shared" si="13"/>
        <v>No</v>
      </c>
      <c r="L161" t="str">
        <f t="shared" si="14"/>
        <v>No</v>
      </c>
      <c r="M161" t="str">
        <f t="shared" si="15"/>
        <v>Yes</v>
      </c>
      <c r="N161" t="str">
        <f t="shared" si="16"/>
        <v>No</v>
      </c>
      <c r="O161" t="str">
        <f t="shared" si="16"/>
        <v>No</v>
      </c>
      <c r="P161" t="str">
        <f t="shared" si="16"/>
        <v>Yes</v>
      </c>
      <c r="Q161" t="str">
        <f t="shared" si="11"/>
        <v>No</v>
      </c>
    </row>
    <row r="162" spans="1:17">
      <c r="A162">
        <v>241530</v>
      </c>
      <c r="B162" t="s">
        <v>1086</v>
      </c>
      <c r="C162" t="s">
        <v>1307</v>
      </c>
      <c r="D162" s="357">
        <v>41317</v>
      </c>
      <c r="E162" t="s">
        <v>1257</v>
      </c>
      <c r="F162">
        <v>125</v>
      </c>
      <c r="H162" t="s">
        <v>1127</v>
      </c>
      <c r="I162" t="s">
        <v>1128</v>
      </c>
      <c r="J162" s="357">
        <f t="shared" si="12"/>
        <v>42409</v>
      </c>
      <c r="K162" t="str">
        <f t="shared" si="13"/>
        <v>No</v>
      </c>
      <c r="L162" t="str">
        <f t="shared" si="14"/>
        <v>No</v>
      </c>
      <c r="M162" t="str">
        <f t="shared" si="15"/>
        <v>Yes</v>
      </c>
      <c r="N162" t="str">
        <f t="shared" si="16"/>
        <v>No</v>
      </c>
      <c r="O162" t="str">
        <f t="shared" si="16"/>
        <v>No</v>
      </c>
      <c r="P162" t="str">
        <f t="shared" si="16"/>
        <v>Yes</v>
      </c>
      <c r="Q162" t="str">
        <f t="shared" si="11"/>
        <v>No</v>
      </c>
    </row>
    <row r="163" spans="1:17">
      <c r="A163">
        <v>242409</v>
      </c>
      <c r="B163" t="s">
        <v>1086</v>
      </c>
      <c r="C163" t="s">
        <v>1367</v>
      </c>
      <c r="D163" s="357">
        <v>41319</v>
      </c>
      <c r="E163" t="s">
        <v>1368</v>
      </c>
      <c r="F163">
        <v>125</v>
      </c>
      <c r="H163" t="s">
        <v>1369</v>
      </c>
      <c r="I163" t="s">
        <v>1201</v>
      </c>
      <c r="J163" s="357">
        <f t="shared" si="12"/>
        <v>42411</v>
      </c>
      <c r="K163" t="str">
        <f t="shared" si="13"/>
        <v>No</v>
      </c>
      <c r="L163" t="str">
        <f t="shared" si="14"/>
        <v>No</v>
      </c>
      <c r="M163" t="str">
        <f t="shared" si="15"/>
        <v>Yes</v>
      </c>
      <c r="N163" t="str">
        <f t="shared" si="16"/>
        <v>No</v>
      </c>
      <c r="O163" t="str">
        <f t="shared" si="16"/>
        <v>No</v>
      </c>
      <c r="P163" t="str">
        <f t="shared" si="16"/>
        <v>Yes</v>
      </c>
      <c r="Q163" t="str">
        <f t="shared" si="11"/>
        <v>No</v>
      </c>
    </row>
    <row r="164" spans="1:17">
      <c r="A164">
        <v>240843</v>
      </c>
      <c r="B164" t="s">
        <v>1086</v>
      </c>
      <c r="C164" t="s">
        <v>1096</v>
      </c>
      <c r="D164" s="357">
        <v>41320</v>
      </c>
      <c r="E164" t="s">
        <v>1130</v>
      </c>
      <c r="F164">
        <v>125</v>
      </c>
      <c r="H164" t="s">
        <v>1131</v>
      </c>
      <c r="I164" t="s">
        <v>1132</v>
      </c>
      <c r="J164" s="357">
        <f t="shared" si="12"/>
        <v>42412</v>
      </c>
      <c r="K164" t="str">
        <f t="shared" si="13"/>
        <v>No</v>
      </c>
      <c r="L164" t="str">
        <f t="shared" si="14"/>
        <v>No</v>
      </c>
      <c r="M164" t="str">
        <f t="shared" si="15"/>
        <v>Yes</v>
      </c>
      <c r="N164" t="str">
        <f t="shared" si="16"/>
        <v>No</v>
      </c>
      <c r="O164" t="str">
        <f t="shared" si="16"/>
        <v>No</v>
      </c>
      <c r="P164" t="str">
        <f t="shared" si="16"/>
        <v>Yes</v>
      </c>
      <c r="Q164" t="str">
        <f t="shared" si="11"/>
        <v>No</v>
      </c>
    </row>
    <row r="165" spans="1:17">
      <c r="A165">
        <v>240071</v>
      </c>
      <c r="B165" t="s">
        <v>1086</v>
      </c>
      <c r="C165" t="s">
        <v>1096</v>
      </c>
      <c r="D165" s="357">
        <v>41320</v>
      </c>
      <c r="E165" t="s">
        <v>1130</v>
      </c>
      <c r="F165">
        <v>125</v>
      </c>
      <c r="H165" t="s">
        <v>1131</v>
      </c>
      <c r="I165" t="s">
        <v>1132</v>
      </c>
      <c r="J165" s="357">
        <f t="shared" si="12"/>
        <v>42412</v>
      </c>
      <c r="K165" t="str">
        <f t="shared" si="13"/>
        <v>No</v>
      </c>
      <c r="L165" t="str">
        <f t="shared" si="14"/>
        <v>No</v>
      </c>
      <c r="M165" t="str">
        <f t="shared" si="15"/>
        <v>Yes</v>
      </c>
      <c r="N165" t="str">
        <f t="shared" si="16"/>
        <v>No</v>
      </c>
      <c r="O165" t="str">
        <f t="shared" si="16"/>
        <v>No</v>
      </c>
      <c r="P165" t="str">
        <f t="shared" si="16"/>
        <v>Yes</v>
      </c>
      <c r="Q165" t="str">
        <f t="shared" si="11"/>
        <v>No</v>
      </c>
    </row>
    <row r="166" spans="1:17">
      <c r="A166">
        <v>241784</v>
      </c>
      <c r="B166" t="s">
        <v>1086</v>
      </c>
      <c r="C166" t="s">
        <v>1370</v>
      </c>
      <c r="D166" s="357">
        <v>41324</v>
      </c>
      <c r="E166" t="s">
        <v>1133</v>
      </c>
      <c r="F166">
        <v>125</v>
      </c>
      <c r="H166" t="s">
        <v>1131</v>
      </c>
      <c r="I166" t="s">
        <v>1132</v>
      </c>
      <c r="J166" s="357">
        <f t="shared" si="12"/>
        <v>42416</v>
      </c>
      <c r="K166" t="str">
        <f t="shared" si="13"/>
        <v>No</v>
      </c>
      <c r="L166" t="str">
        <f t="shared" si="14"/>
        <v>No</v>
      </c>
      <c r="M166" t="str">
        <f t="shared" si="15"/>
        <v>Yes</v>
      </c>
      <c r="N166" t="str">
        <f t="shared" si="16"/>
        <v>No</v>
      </c>
      <c r="O166" t="str">
        <f t="shared" si="16"/>
        <v>No</v>
      </c>
      <c r="P166" t="str">
        <f t="shared" si="16"/>
        <v>Yes</v>
      </c>
      <c r="Q166" t="str">
        <f t="shared" si="11"/>
        <v>No</v>
      </c>
    </row>
    <row r="167" spans="1:17">
      <c r="A167">
        <v>241326</v>
      </c>
      <c r="B167" t="s">
        <v>1086</v>
      </c>
      <c r="C167" t="s">
        <v>1087</v>
      </c>
      <c r="D167" s="357">
        <v>41324</v>
      </c>
      <c r="E167" t="s">
        <v>1133</v>
      </c>
      <c r="F167">
        <v>125</v>
      </c>
      <c r="H167" t="s">
        <v>1131</v>
      </c>
      <c r="I167" t="s">
        <v>1132</v>
      </c>
      <c r="J167" s="357">
        <f t="shared" si="12"/>
        <v>42416</v>
      </c>
      <c r="K167" t="str">
        <f t="shared" si="13"/>
        <v>No</v>
      </c>
      <c r="L167" t="str">
        <f t="shared" si="14"/>
        <v>No</v>
      </c>
      <c r="M167" t="str">
        <f t="shared" si="15"/>
        <v>Yes</v>
      </c>
      <c r="N167" t="str">
        <f t="shared" si="16"/>
        <v>No</v>
      </c>
      <c r="O167" t="str">
        <f t="shared" si="16"/>
        <v>No</v>
      </c>
      <c r="P167" t="str">
        <f t="shared" si="16"/>
        <v>Yes</v>
      </c>
      <c r="Q167" t="str">
        <f t="shared" si="11"/>
        <v>No</v>
      </c>
    </row>
    <row r="168" spans="1:17">
      <c r="A168">
        <v>241795</v>
      </c>
      <c r="B168" t="s">
        <v>1112</v>
      </c>
      <c r="C168" t="s">
        <v>1355</v>
      </c>
      <c r="D168" s="357">
        <v>41326</v>
      </c>
      <c r="E168" t="s">
        <v>1371</v>
      </c>
      <c r="F168">
        <v>125</v>
      </c>
      <c r="H168" t="s">
        <v>1372</v>
      </c>
      <c r="I168" t="s">
        <v>1272</v>
      </c>
      <c r="J168" s="357">
        <f t="shared" si="12"/>
        <v>42418</v>
      </c>
      <c r="K168" t="str">
        <f t="shared" si="13"/>
        <v>No</v>
      </c>
      <c r="L168" t="str">
        <f t="shared" si="14"/>
        <v>No</v>
      </c>
      <c r="M168" t="str">
        <f t="shared" si="15"/>
        <v>Yes</v>
      </c>
      <c r="N168" t="str">
        <f t="shared" si="16"/>
        <v>No</v>
      </c>
      <c r="O168" t="str">
        <f t="shared" si="16"/>
        <v>No</v>
      </c>
      <c r="P168" t="str">
        <f t="shared" si="16"/>
        <v>Yes</v>
      </c>
      <c r="Q168" t="str">
        <f t="shared" si="11"/>
        <v>No</v>
      </c>
    </row>
    <row r="169" spans="1:17">
      <c r="A169">
        <v>240772</v>
      </c>
      <c r="B169" t="s">
        <v>1086</v>
      </c>
      <c r="C169" t="s">
        <v>1091</v>
      </c>
      <c r="D169" s="357">
        <v>41339</v>
      </c>
      <c r="E169" t="s">
        <v>1246</v>
      </c>
      <c r="F169">
        <v>125</v>
      </c>
      <c r="H169" t="s">
        <v>1247</v>
      </c>
      <c r="I169" t="s">
        <v>1248</v>
      </c>
      <c r="J169" s="357">
        <f t="shared" si="12"/>
        <v>42431</v>
      </c>
      <c r="K169" t="str">
        <f t="shared" si="13"/>
        <v>No</v>
      </c>
      <c r="L169" t="str">
        <f t="shared" si="14"/>
        <v>No</v>
      </c>
      <c r="M169" t="str">
        <f t="shared" si="15"/>
        <v>Yes</v>
      </c>
      <c r="N169" t="str">
        <f t="shared" si="16"/>
        <v>No</v>
      </c>
      <c r="O169" t="str">
        <f t="shared" si="16"/>
        <v>No</v>
      </c>
      <c r="P169" t="str">
        <f t="shared" si="16"/>
        <v>Yes</v>
      </c>
      <c r="Q169" t="str">
        <f t="shared" si="11"/>
        <v>No</v>
      </c>
    </row>
    <row r="171" spans="1:17">
      <c r="I171" t="s">
        <v>1373</v>
      </c>
      <c r="K171">
        <f t="shared" ref="K171:Q171" si="17">COUNTIF(K3:K169,"Yes")</f>
        <v>66</v>
      </c>
      <c r="L171">
        <f t="shared" si="17"/>
        <v>58</v>
      </c>
      <c r="M171">
        <f t="shared" si="17"/>
        <v>43</v>
      </c>
      <c r="N171">
        <f t="shared" si="17"/>
        <v>66</v>
      </c>
      <c r="O171">
        <f t="shared" si="17"/>
        <v>58</v>
      </c>
      <c r="P171">
        <f t="shared" si="17"/>
        <v>43</v>
      </c>
      <c r="Q171">
        <f t="shared" si="17"/>
        <v>66</v>
      </c>
    </row>
    <row r="172" spans="1:17">
      <c r="I172" t="s">
        <v>1374</v>
      </c>
      <c r="J172" s="100">
        <f>'Comuter Classrooms'!Q74</f>
        <v>1096</v>
      </c>
    </row>
    <row r="173" spans="1:17" ht="17.25">
      <c r="I173" t="s">
        <v>1375</v>
      </c>
      <c r="K173" s="348">
        <f>K171*$J$172</f>
        <v>72336</v>
      </c>
      <c r="L173" s="348">
        <f t="shared" ref="L173:Q173" si="18">L171*$J$172</f>
        <v>63568</v>
      </c>
      <c r="M173" s="348">
        <f t="shared" si="18"/>
        <v>47128</v>
      </c>
      <c r="N173" s="348">
        <f t="shared" si="18"/>
        <v>72336</v>
      </c>
      <c r="O173" s="348">
        <f t="shared" si="18"/>
        <v>63568</v>
      </c>
      <c r="P173" s="348">
        <f t="shared" si="18"/>
        <v>47128</v>
      </c>
      <c r="Q173" s="348">
        <f t="shared" si="18"/>
        <v>72336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opLeftCell="A25" workbookViewId="0">
      <selection activeCell="L8" sqref="L8"/>
    </sheetView>
  </sheetViews>
  <sheetFormatPr defaultRowHeight="16.5"/>
  <cols>
    <col min="1" max="1" width="9.5" customWidth="1"/>
    <col min="2" max="2" width="7.625" customWidth="1"/>
    <col min="3" max="3" width="5.25" customWidth="1"/>
    <col min="4" max="4" width="18.5" customWidth="1"/>
    <col min="5" max="5" width="15.25" customWidth="1"/>
    <col min="6" max="6" width="28.375" customWidth="1"/>
    <col min="7" max="7" width="11.875" customWidth="1"/>
    <col min="8" max="8" width="8.625" customWidth="1"/>
    <col min="9" max="9" width="8.5" bestFit="1" customWidth="1"/>
  </cols>
  <sheetData>
    <row r="1" spans="1:11" ht="30">
      <c r="A1" s="38" t="s">
        <v>426</v>
      </c>
      <c r="B1" s="38" t="s">
        <v>1</v>
      </c>
      <c r="C1" s="39" t="s">
        <v>427</v>
      </c>
      <c r="D1" s="38" t="s">
        <v>428</v>
      </c>
      <c r="E1" s="39" t="s">
        <v>429</v>
      </c>
      <c r="F1" s="38" t="s">
        <v>430</v>
      </c>
      <c r="G1" s="38" t="s">
        <v>57</v>
      </c>
      <c r="H1" s="39" t="s">
        <v>431</v>
      </c>
      <c r="I1" s="39" t="s">
        <v>432</v>
      </c>
    </row>
    <row r="2" spans="1:11">
      <c r="A2" s="40" t="s">
        <v>433</v>
      </c>
      <c r="B2" s="40" t="s">
        <v>434</v>
      </c>
      <c r="C2" s="40">
        <v>2</v>
      </c>
      <c r="D2" s="40" t="s">
        <v>435</v>
      </c>
      <c r="E2" s="40" t="s">
        <v>436</v>
      </c>
      <c r="F2" s="41" t="s">
        <v>437</v>
      </c>
      <c r="G2" s="42" t="s">
        <v>438</v>
      </c>
      <c r="H2" s="40" t="s">
        <v>439</v>
      </c>
      <c r="I2" s="43">
        <v>39916</v>
      </c>
      <c r="K2" t="s">
        <v>1034</v>
      </c>
    </row>
    <row r="3" spans="1:11">
      <c r="A3" s="40" t="s">
        <v>440</v>
      </c>
      <c r="B3" s="40" t="s">
        <v>434</v>
      </c>
      <c r="C3" s="40">
        <v>5</v>
      </c>
      <c r="D3" s="40" t="s">
        <v>441</v>
      </c>
      <c r="E3" s="40" t="s">
        <v>442</v>
      </c>
      <c r="F3" s="41" t="s">
        <v>443</v>
      </c>
      <c r="G3" s="42" t="s">
        <v>444</v>
      </c>
      <c r="H3" s="40" t="s">
        <v>445</v>
      </c>
      <c r="I3" s="43">
        <v>39916</v>
      </c>
    </row>
    <row r="4" spans="1:11">
      <c r="A4" s="44" t="s">
        <v>446</v>
      </c>
      <c r="B4" s="44" t="s">
        <v>447</v>
      </c>
      <c r="C4" s="44">
        <v>4</v>
      </c>
      <c r="D4" s="44" t="s">
        <v>448</v>
      </c>
      <c r="E4" s="44" t="s">
        <v>449</v>
      </c>
      <c r="F4" s="41" t="s">
        <v>450</v>
      </c>
      <c r="G4" s="45" t="s">
        <v>451</v>
      </c>
      <c r="H4" s="44" t="s">
        <v>452</v>
      </c>
      <c r="I4" s="43">
        <v>40104</v>
      </c>
    </row>
    <row r="5" spans="1:11" ht="27">
      <c r="A5" s="44" t="s">
        <v>453</v>
      </c>
      <c r="B5" s="44" t="s">
        <v>454</v>
      </c>
      <c r="C5" s="44">
        <v>8</v>
      </c>
      <c r="D5" s="44" t="s">
        <v>455</v>
      </c>
      <c r="E5" s="44" t="s">
        <v>456</v>
      </c>
      <c r="F5" s="41" t="s">
        <v>457</v>
      </c>
      <c r="G5" s="45" t="s">
        <v>458</v>
      </c>
      <c r="H5" s="44" t="s">
        <v>459</v>
      </c>
      <c r="I5" s="46">
        <v>41391</v>
      </c>
    </row>
    <row r="6" spans="1:11" ht="27">
      <c r="A6" s="44" t="s">
        <v>460</v>
      </c>
      <c r="B6" s="44" t="s">
        <v>461</v>
      </c>
      <c r="C6" s="44">
        <v>16</v>
      </c>
      <c r="D6" s="47" t="s">
        <v>462</v>
      </c>
      <c r="E6" s="44" t="s">
        <v>463</v>
      </c>
      <c r="F6" s="48" t="s">
        <v>464</v>
      </c>
      <c r="G6" s="45" t="s">
        <v>465</v>
      </c>
      <c r="H6" s="44" t="s">
        <v>466</v>
      </c>
      <c r="I6" s="43"/>
    </row>
    <row r="7" spans="1:11">
      <c r="A7" s="40" t="s">
        <v>467</v>
      </c>
      <c r="B7" s="40" t="s">
        <v>468</v>
      </c>
      <c r="C7" s="44">
        <v>4</v>
      </c>
      <c r="D7" s="44" t="s">
        <v>469</v>
      </c>
      <c r="E7" s="44" t="s">
        <v>470</v>
      </c>
      <c r="F7" s="41" t="s">
        <v>471</v>
      </c>
      <c r="G7" s="45" t="s">
        <v>472</v>
      </c>
      <c r="H7" s="44" t="s">
        <v>473</v>
      </c>
      <c r="I7" s="43">
        <v>40018</v>
      </c>
    </row>
    <row r="8" spans="1:11" ht="27">
      <c r="A8" s="40" t="s">
        <v>474</v>
      </c>
      <c r="B8" s="40" t="s">
        <v>475</v>
      </c>
      <c r="C8" s="44"/>
      <c r="D8" s="44" t="s">
        <v>476</v>
      </c>
      <c r="E8" s="44" t="s">
        <v>477</v>
      </c>
      <c r="F8" s="41" t="s">
        <v>478</v>
      </c>
      <c r="G8" s="45" t="s">
        <v>479</v>
      </c>
      <c r="H8" s="44" t="s">
        <v>480</v>
      </c>
      <c r="I8" s="43"/>
    </row>
    <row r="9" spans="1:11">
      <c r="A9" s="40" t="s">
        <v>481</v>
      </c>
      <c r="B9" s="40" t="s">
        <v>482</v>
      </c>
      <c r="C9" s="40">
        <v>3.93</v>
      </c>
      <c r="D9" s="40" t="s">
        <v>483</v>
      </c>
      <c r="E9" s="40" t="s">
        <v>484</v>
      </c>
      <c r="F9" s="41" t="s">
        <v>485</v>
      </c>
      <c r="G9" s="42" t="s">
        <v>486</v>
      </c>
      <c r="H9" s="40" t="s">
        <v>487</v>
      </c>
      <c r="I9" s="43">
        <v>39436</v>
      </c>
    </row>
    <row r="10" spans="1:11">
      <c r="A10" s="40" t="s">
        <v>488</v>
      </c>
      <c r="B10" s="40" t="s">
        <v>489</v>
      </c>
      <c r="C10" s="40">
        <v>24</v>
      </c>
      <c r="D10" s="40" t="s">
        <v>490</v>
      </c>
      <c r="E10" s="40" t="s">
        <v>491</v>
      </c>
      <c r="F10" s="41" t="s">
        <v>492</v>
      </c>
      <c r="G10" s="42" t="s">
        <v>493</v>
      </c>
      <c r="H10" s="40" t="s">
        <v>494</v>
      </c>
      <c r="I10" s="46">
        <v>41839</v>
      </c>
    </row>
    <row r="11" spans="1:11">
      <c r="A11" s="40" t="s">
        <v>495</v>
      </c>
      <c r="B11" s="40" t="s">
        <v>496</v>
      </c>
      <c r="C11" s="40">
        <v>8</v>
      </c>
      <c r="D11" s="40" t="s">
        <v>497</v>
      </c>
      <c r="E11" s="40" t="s">
        <v>498</v>
      </c>
      <c r="F11" s="41" t="s">
        <v>499</v>
      </c>
      <c r="G11" s="42" t="s">
        <v>500</v>
      </c>
      <c r="H11" s="40" t="s">
        <v>501</v>
      </c>
      <c r="I11" s="43">
        <v>39066</v>
      </c>
    </row>
    <row r="12" spans="1:11">
      <c r="A12" s="40" t="s">
        <v>502</v>
      </c>
      <c r="B12" s="40" t="s">
        <v>503</v>
      </c>
      <c r="C12" s="40">
        <v>4</v>
      </c>
      <c r="D12" s="40" t="s">
        <v>490</v>
      </c>
      <c r="E12" s="40" t="s">
        <v>491</v>
      </c>
      <c r="F12" s="41" t="s">
        <v>504</v>
      </c>
      <c r="G12" s="42" t="s">
        <v>505</v>
      </c>
      <c r="H12" s="40" t="s">
        <v>506</v>
      </c>
      <c r="I12" s="46">
        <v>41770</v>
      </c>
    </row>
    <row r="13" spans="1:11">
      <c r="A13" s="40" t="s">
        <v>507</v>
      </c>
      <c r="B13" s="40"/>
      <c r="C13" s="40"/>
      <c r="D13" s="40"/>
      <c r="E13" s="40"/>
      <c r="F13" s="41" t="s">
        <v>508</v>
      </c>
      <c r="G13" s="42" t="s">
        <v>509</v>
      </c>
      <c r="H13" s="40"/>
      <c r="I13" s="46"/>
    </row>
    <row r="14" spans="1:11">
      <c r="A14" s="40" t="s">
        <v>510</v>
      </c>
      <c r="B14" s="40" t="s">
        <v>511</v>
      </c>
      <c r="C14" s="40">
        <v>8</v>
      </c>
      <c r="D14" s="40" t="s">
        <v>512</v>
      </c>
      <c r="E14" s="40" t="s">
        <v>513</v>
      </c>
      <c r="F14" s="41" t="s">
        <v>514</v>
      </c>
      <c r="G14" s="42" t="s">
        <v>515</v>
      </c>
      <c r="H14" s="40" t="s">
        <v>516</v>
      </c>
      <c r="I14" s="46">
        <v>40882</v>
      </c>
    </row>
    <row r="15" spans="1:11">
      <c r="A15" s="40" t="s">
        <v>517</v>
      </c>
      <c r="B15" s="40" t="s">
        <v>518</v>
      </c>
      <c r="C15" s="40">
        <v>8</v>
      </c>
      <c r="D15" s="40" t="s">
        <v>448</v>
      </c>
      <c r="E15" s="40" t="s">
        <v>470</v>
      </c>
      <c r="F15" s="41" t="s">
        <v>519</v>
      </c>
      <c r="G15" s="42" t="s">
        <v>520</v>
      </c>
      <c r="H15" s="40" t="s">
        <v>521</v>
      </c>
      <c r="I15" s="46">
        <v>40886</v>
      </c>
    </row>
    <row r="16" spans="1:11">
      <c r="A16" s="40" t="s">
        <v>522</v>
      </c>
      <c r="B16" s="40" t="s">
        <v>482</v>
      </c>
      <c r="C16" s="40">
        <v>3.75</v>
      </c>
      <c r="D16" s="40" t="s">
        <v>483</v>
      </c>
      <c r="E16" s="40" t="s">
        <v>523</v>
      </c>
      <c r="F16" s="41" t="s">
        <v>524</v>
      </c>
      <c r="G16" s="42" t="s">
        <v>525</v>
      </c>
      <c r="H16" s="40" t="s">
        <v>526</v>
      </c>
      <c r="I16" s="43">
        <v>39237</v>
      </c>
    </row>
    <row r="17" spans="1:9">
      <c r="A17" s="40" t="s">
        <v>527</v>
      </c>
      <c r="B17" s="40" t="s">
        <v>489</v>
      </c>
      <c r="C17" s="40">
        <v>6</v>
      </c>
      <c r="D17" s="40" t="s">
        <v>490</v>
      </c>
      <c r="E17" s="40" t="s">
        <v>513</v>
      </c>
      <c r="F17" s="41" t="s">
        <v>528</v>
      </c>
      <c r="G17" s="42" t="s">
        <v>529</v>
      </c>
      <c r="H17" s="40" t="s">
        <v>530</v>
      </c>
      <c r="I17" s="46">
        <v>41839</v>
      </c>
    </row>
    <row r="18" spans="1:9">
      <c r="A18" s="40" t="s">
        <v>531</v>
      </c>
      <c r="B18" s="40" t="s">
        <v>482</v>
      </c>
      <c r="C18" s="40">
        <v>2</v>
      </c>
      <c r="D18" s="40" t="s">
        <v>483</v>
      </c>
      <c r="E18" s="40" t="s">
        <v>532</v>
      </c>
      <c r="F18" s="41" t="s">
        <v>533</v>
      </c>
      <c r="G18" s="42" t="s">
        <v>534</v>
      </c>
      <c r="H18" s="40"/>
      <c r="I18" s="46"/>
    </row>
    <row r="19" spans="1:9">
      <c r="A19" s="44" t="s">
        <v>535</v>
      </c>
      <c r="B19" s="44" t="s">
        <v>511</v>
      </c>
      <c r="C19" s="44">
        <v>8</v>
      </c>
      <c r="D19" s="44" t="s">
        <v>512</v>
      </c>
      <c r="E19" s="44" t="s">
        <v>536</v>
      </c>
      <c r="F19" s="41" t="s">
        <v>537</v>
      </c>
      <c r="G19" s="45" t="s">
        <v>538</v>
      </c>
      <c r="H19" s="44" t="s">
        <v>539</v>
      </c>
      <c r="I19" s="46">
        <v>40882</v>
      </c>
    </row>
    <row r="20" spans="1:9" ht="27">
      <c r="A20" s="44" t="s">
        <v>540</v>
      </c>
      <c r="B20" s="44" t="s">
        <v>447</v>
      </c>
      <c r="C20" s="44">
        <v>8</v>
      </c>
      <c r="D20" s="44" t="s">
        <v>541</v>
      </c>
      <c r="E20" s="44" t="s">
        <v>542</v>
      </c>
      <c r="F20" s="48" t="s">
        <v>543</v>
      </c>
      <c r="G20" s="45" t="s">
        <v>544</v>
      </c>
      <c r="H20" s="44" t="s">
        <v>545</v>
      </c>
      <c r="I20" s="46">
        <v>40883</v>
      </c>
    </row>
    <row r="21" spans="1:9">
      <c r="A21" s="40" t="s">
        <v>546</v>
      </c>
      <c r="B21" s="40" t="s">
        <v>547</v>
      </c>
      <c r="C21" s="40">
        <v>1</v>
      </c>
      <c r="D21" s="40" t="s">
        <v>548</v>
      </c>
      <c r="E21" s="40" t="s">
        <v>470</v>
      </c>
      <c r="F21" s="41" t="s">
        <v>549</v>
      </c>
      <c r="G21" s="42" t="s">
        <v>550</v>
      </c>
      <c r="H21" s="40" t="s">
        <v>551</v>
      </c>
      <c r="I21" s="43">
        <v>38985</v>
      </c>
    </row>
    <row r="22" spans="1:9">
      <c r="A22" s="44" t="s">
        <v>552</v>
      </c>
      <c r="B22" s="44" t="s">
        <v>553</v>
      </c>
      <c r="C22" s="44"/>
      <c r="D22" s="44"/>
      <c r="E22" s="44" t="s">
        <v>554</v>
      </c>
      <c r="F22" s="45" t="s">
        <v>555</v>
      </c>
      <c r="G22" s="45"/>
      <c r="H22" s="44"/>
      <c r="I22" s="44"/>
    </row>
    <row r="23" spans="1:9">
      <c r="A23" s="40" t="s">
        <v>556</v>
      </c>
      <c r="B23" s="40" t="s">
        <v>447</v>
      </c>
      <c r="C23" s="40">
        <v>4</v>
      </c>
      <c r="D23" s="40" t="s">
        <v>557</v>
      </c>
      <c r="E23" s="40" t="s">
        <v>558</v>
      </c>
      <c r="F23" s="41" t="s">
        <v>559</v>
      </c>
      <c r="G23" s="42" t="s">
        <v>560</v>
      </c>
      <c r="H23" s="40" t="s">
        <v>561</v>
      </c>
      <c r="I23" s="46">
        <v>40455</v>
      </c>
    </row>
    <row r="24" spans="1:9">
      <c r="A24" s="40" t="s">
        <v>562</v>
      </c>
      <c r="B24" s="40" t="s">
        <v>434</v>
      </c>
      <c r="C24" s="40">
        <v>2</v>
      </c>
      <c r="D24" s="40" t="s">
        <v>435</v>
      </c>
      <c r="E24" s="40" t="s">
        <v>563</v>
      </c>
      <c r="F24" s="41" t="s">
        <v>564</v>
      </c>
      <c r="G24" s="42" t="s">
        <v>565</v>
      </c>
      <c r="H24" s="40" t="s">
        <v>566</v>
      </c>
      <c r="I24" s="49">
        <v>39916</v>
      </c>
    </row>
    <row r="25" spans="1:9">
      <c r="A25" s="40" t="s">
        <v>567</v>
      </c>
      <c r="B25" s="40" t="s">
        <v>568</v>
      </c>
      <c r="C25" s="40">
        <v>8</v>
      </c>
      <c r="D25" s="40" t="s">
        <v>569</v>
      </c>
      <c r="E25" s="40" t="s">
        <v>570</v>
      </c>
      <c r="F25" s="41" t="s">
        <v>571</v>
      </c>
      <c r="G25" s="42" t="s">
        <v>572</v>
      </c>
      <c r="H25" s="40" t="s">
        <v>573</v>
      </c>
      <c r="I25" s="46">
        <v>40641</v>
      </c>
    </row>
    <row r="26" spans="1:9">
      <c r="A26" s="40" t="s">
        <v>574</v>
      </c>
      <c r="B26" s="40" t="s">
        <v>496</v>
      </c>
      <c r="C26" s="40">
        <v>4</v>
      </c>
      <c r="D26" s="40" t="s">
        <v>497</v>
      </c>
      <c r="E26" s="40" t="s">
        <v>570</v>
      </c>
      <c r="F26" s="41" t="s">
        <v>575</v>
      </c>
      <c r="G26" s="42" t="s">
        <v>576</v>
      </c>
      <c r="H26" s="40" t="s">
        <v>577</v>
      </c>
      <c r="I26" s="46">
        <v>42031</v>
      </c>
    </row>
    <row r="27" spans="1:9">
      <c r="A27" s="40" t="s">
        <v>578</v>
      </c>
      <c r="B27" s="40" t="s">
        <v>579</v>
      </c>
      <c r="C27" s="40">
        <v>2</v>
      </c>
      <c r="D27" s="40" t="s">
        <v>483</v>
      </c>
      <c r="E27" s="40" t="s">
        <v>580</v>
      </c>
      <c r="F27" s="41" t="s">
        <v>581</v>
      </c>
      <c r="G27" s="42" t="s">
        <v>582</v>
      </c>
      <c r="H27" s="40" t="s">
        <v>583</v>
      </c>
      <c r="I27" s="43">
        <v>38816</v>
      </c>
    </row>
    <row r="28" spans="1:9">
      <c r="A28" s="40" t="s">
        <v>584</v>
      </c>
      <c r="B28" s="40" t="s">
        <v>482</v>
      </c>
      <c r="C28" s="40">
        <v>4</v>
      </c>
      <c r="D28" s="40" t="s">
        <v>483</v>
      </c>
      <c r="E28" s="40" t="s">
        <v>585</v>
      </c>
      <c r="F28" s="41" t="s">
        <v>586</v>
      </c>
      <c r="G28" s="42" t="s">
        <v>587</v>
      </c>
      <c r="H28" s="40"/>
      <c r="I28" s="43"/>
    </row>
    <row r="29" spans="1:9">
      <c r="A29" s="40" t="s">
        <v>588</v>
      </c>
      <c r="B29" s="40" t="s">
        <v>454</v>
      </c>
      <c r="C29" s="40">
        <v>8</v>
      </c>
      <c r="D29" s="40" t="s">
        <v>589</v>
      </c>
      <c r="E29" s="40" t="s">
        <v>498</v>
      </c>
      <c r="F29" s="41" t="s">
        <v>590</v>
      </c>
      <c r="G29" s="42" t="s">
        <v>591</v>
      </c>
      <c r="H29" s="40" t="s">
        <v>592</v>
      </c>
      <c r="I29" s="46">
        <v>41391</v>
      </c>
    </row>
    <row r="30" spans="1:9">
      <c r="A30" s="40" t="s">
        <v>593</v>
      </c>
      <c r="B30" s="40" t="s">
        <v>579</v>
      </c>
      <c r="C30" s="40">
        <v>1</v>
      </c>
      <c r="D30" s="40" t="s">
        <v>483</v>
      </c>
      <c r="E30" s="40" t="s">
        <v>580</v>
      </c>
      <c r="F30" s="41" t="s">
        <v>594</v>
      </c>
      <c r="G30" s="42" t="s">
        <v>595</v>
      </c>
      <c r="H30" s="40" t="s">
        <v>596</v>
      </c>
      <c r="I30" s="43">
        <v>38858</v>
      </c>
    </row>
    <row r="31" spans="1:9" ht="27">
      <c r="A31" s="40" t="s">
        <v>597</v>
      </c>
      <c r="B31" s="40" t="s">
        <v>598</v>
      </c>
      <c r="C31" s="40">
        <v>8</v>
      </c>
      <c r="D31" s="40" t="s">
        <v>589</v>
      </c>
      <c r="E31" s="40"/>
      <c r="F31" s="41" t="s">
        <v>599</v>
      </c>
      <c r="G31" s="42" t="s">
        <v>600</v>
      </c>
      <c r="H31" s="40" t="s">
        <v>601</v>
      </c>
      <c r="I31" s="46">
        <v>41225</v>
      </c>
    </row>
    <row r="32" spans="1:9">
      <c r="A32" s="44" t="s">
        <v>602</v>
      </c>
      <c r="B32" s="44" t="s">
        <v>603</v>
      </c>
      <c r="C32" s="44"/>
      <c r="D32" s="40" t="s">
        <v>604</v>
      </c>
      <c r="E32" s="40" t="s">
        <v>605</v>
      </c>
      <c r="F32" s="41" t="s">
        <v>606</v>
      </c>
      <c r="G32" s="42" t="s">
        <v>607</v>
      </c>
      <c r="H32" s="40" t="s">
        <v>608</v>
      </c>
      <c r="I32" s="46"/>
    </row>
    <row r="33" spans="1:9">
      <c r="A33" s="44" t="s">
        <v>609</v>
      </c>
      <c r="B33" s="44" t="s">
        <v>518</v>
      </c>
      <c r="C33" s="44">
        <v>6</v>
      </c>
      <c r="D33" s="44" t="s">
        <v>469</v>
      </c>
      <c r="E33" s="44" t="s">
        <v>498</v>
      </c>
      <c r="F33" s="41" t="s">
        <v>610</v>
      </c>
      <c r="G33" s="45" t="s">
        <v>611</v>
      </c>
      <c r="H33" s="44" t="s">
        <v>612</v>
      </c>
      <c r="I33" s="43">
        <v>40018</v>
      </c>
    </row>
    <row r="34" spans="1:9">
      <c r="A34" s="44" t="s">
        <v>613</v>
      </c>
      <c r="B34" s="44" t="s">
        <v>447</v>
      </c>
      <c r="C34" s="44">
        <v>8</v>
      </c>
      <c r="D34" s="42" t="s">
        <v>614</v>
      </c>
      <c r="E34" s="44" t="s">
        <v>570</v>
      </c>
      <c r="F34" s="48" t="s">
        <v>615</v>
      </c>
      <c r="G34" s="45" t="s">
        <v>616</v>
      </c>
      <c r="H34" s="44" t="s">
        <v>617</v>
      </c>
      <c r="I34" s="46">
        <v>41843</v>
      </c>
    </row>
    <row r="35" spans="1:9">
      <c r="A35" s="40" t="s">
        <v>618</v>
      </c>
      <c r="B35" s="40" t="s">
        <v>619</v>
      </c>
      <c r="C35" s="40">
        <v>1</v>
      </c>
      <c r="D35" s="40" t="s">
        <v>620</v>
      </c>
      <c r="E35" s="40" t="s">
        <v>470</v>
      </c>
      <c r="F35" s="41" t="s">
        <v>621</v>
      </c>
      <c r="G35" s="42" t="s">
        <v>622</v>
      </c>
      <c r="H35" s="40" t="s">
        <v>623</v>
      </c>
      <c r="I35" s="43">
        <v>39060</v>
      </c>
    </row>
    <row r="36" spans="1:9">
      <c r="A36" s="40" t="s">
        <v>624</v>
      </c>
      <c r="B36" s="40" t="s">
        <v>454</v>
      </c>
      <c r="C36" s="40">
        <v>8</v>
      </c>
      <c r="D36" s="40" t="s">
        <v>589</v>
      </c>
      <c r="E36" s="40" t="s">
        <v>498</v>
      </c>
      <c r="F36" s="41" t="s">
        <v>625</v>
      </c>
      <c r="G36" s="42" t="s">
        <v>626</v>
      </c>
      <c r="H36" s="40" t="s">
        <v>627</v>
      </c>
      <c r="I36" s="46">
        <v>41390</v>
      </c>
    </row>
    <row r="37" spans="1:9">
      <c r="A37" s="50"/>
      <c r="B37" s="50"/>
      <c r="C37" s="50"/>
      <c r="D37" s="50"/>
      <c r="E37" s="50"/>
      <c r="F37" s="50"/>
      <c r="G37" s="50"/>
      <c r="H37" s="50"/>
      <c r="I37" s="50"/>
    </row>
    <row r="38" spans="1:9">
      <c r="A38" s="50"/>
      <c r="B38" s="50"/>
      <c r="C38" s="50"/>
      <c r="D38" s="50"/>
      <c r="E38" s="50"/>
      <c r="F38" s="50"/>
      <c r="G38" s="50"/>
      <c r="H38" s="50"/>
      <c r="I38" s="50"/>
    </row>
    <row r="39" spans="1:9">
      <c r="A39" s="51" t="s">
        <v>628</v>
      </c>
      <c r="B39" s="51" t="s">
        <v>579</v>
      </c>
      <c r="C39" s="51">
        <v>1</v>
      </c>
      <c r="D39" s="51" t="s">
        <v>483</v>
      </c>
      <c r="E39" s="51" t="s">
        <v>580</v>
      </c>
      <c r="F39" s="52"/>
      <c r="G39" s="53" t="s">
        <v>629</v>
      </c>
      <c r="H39" s="51" t="s">
        <v>630</v>
      </c>
      <c r="I39" s="54">
        <v>39121</v>
      </c>
    </row>
    <row r="40" spans="1:9">
      <c r="A40" s="51" t="s">
        <v>631</v>
      </c>
      <c r="B40" s="51" t="s">
        <v>632</v>
      </c>
      <c r="C40" s="51" t="s">
        <v>633</v>
      </c>
      <c r="D40" s="51" t="s">
        <v>634</v>
      </c>
      <c r="E40" s="51" t="s">
        <v>580</v>
      </c>
      <c r="F40" s="52" t="s">
        <v>635</v>
      </c>
      <c r="G40" s="53" t="s">
        <v>636</v>
      </c>
      <c r="H40" s="51" t="s">
        <v>637</v>
      </c>
      <c r="I40" s="54">
        <v>37488</v>
      </c>
    </row>
    <row r="41" spans="1:9" ht="27">
      <c r="A41" s="40" t="s">
        <v>638</v>
      </c>
      <c r="B41" s="40" t="s">
        <v>482</v>
      </c>
      <c r="C41" s="40">
        <v>1</v>
      </c>
      <c r="D41" s="40" t="s">
        <v>483</v>
      </c>
      <c r="E41" s="40" t="s">
        <v>580</v>
      </c>
      <c r="F41" s="41" t="s">
        <v>639</v>
      </c>
      <c r="G41" s="42" t="s">
        <v>640</v>
      </c>
      <c r="H41" s="40" t="s">
        <v>641</v>
      </c>
      <c r="I41" s="43">
        <v>39436</v>
      </c>
    </row>
    <row r="42" spans="1:9">
      <c r="A42" s="51" t="s">
        <v>642</v>
      </c>
      <c r="B42" s="51" t="s">
        <v>643</v>
      </c>
      <c r="C42" s="51">
        <v>2</v>
      </c>
      <c r="D42" s="51" t="s">
        <v>644</v>
      </c>
      <c r="E42" s="51" t="s">
        <v>645</v>
      </c>
      <c r="F42" s="52" t="s">
        <v>646</v>
      </c>
      <c r="G42" s="53" t="s">
        <v>587</v>
      </c>
      <c r="H42" s="51" t="s">
        <v>647</v>
      </c>
      <c r="I42" s="54">
        <v>39044</v>
      </c>
    </row>
    <row r="43" spans="1:9">
      <c r="A43" s="51" t="s">
        <v>648</v>
      </c>
      <c r="B43" s="51" t="s">
        <v>482</v>
      </c>
      <c r="C43" s="51">
        <v>1</v>
      </c>
      <c r="D43" s="51" t="s">
        <v>483</v>
      </c>
      <c r="E43" s="51" t="s">
        <v>580</v>
      </c>
      <c r="F43" s="52" t="s">
        <v>649</v>
      </c>
      <c r="G43" s="53" t="s">
        <v>650</v>
      </c>
      <c r="H43" s="51" t="s">
        <v>651</v>
      </c>
      <c r="I43" s="54">
        <v>38706</v>
      </c>
    </row>
    <row r="44" spans="1:9">
      <c r="A44" s="51" t="s">
        <v>652</v>
      </c>
      <c r="B44" s="51" t="s">
        <v>434</v>
      </c>
      <c r="C44" s="51">
        <v>2</v>
      </c>
      <c r="D44" s="51" t="s">
        <v>441</v>
      </c>
      <c r="E44" s="51" t="s">
        <v>645</v>
      </c>
      <c r="F44" s="52" t="s">
        <v>653</v>
      </c>
      <c r="G44" s="53" t="s">
        <v>654</v>
      </c>
      <c r="H44" s="51" t="s">
        <v>655</v>
      </c>
      <c r="I44" s="54">
        <v>39916</v>
      </c>
    </row>
    <row r="45" spans="1:9" ht="27">
      <c r="A45" s="51" t="s">
        <v>656</v>
      </c>
      <c r="B45" s="51" t="s">
        <v>482</v>
      </c>
      <c r="C45" s="51">
        <v>1</v>
      </c>
      <c r="D45" s="51" t="s">
        <v>483</v>
      </c>
      <c r="E45" s="51" t="s">
        <v>580</v>
      </c>
      <c r="F45" s="52" t="s">
        <v>657</v>
      </c>
      <c r="G45" s="53" t="s">
        <v>658</v>
      </c>
      <c r="H45" s="51" t="s">
        <v>659</v>
      </c>
      <c r="I45" s="54">
        <v>39436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zoomScale="90" zoomScaleNormal="90" workbookViewId="0">
      <pane ySplit="1" topLeftCell="A2" activePane="bottomLeft" state="frozen"/>
      <selection pane="bottomLeft" activeCell="G19" sqref="G19"/>
    </sheetView>
  </sheetViews>
  <sheetFormatPr defaultRowHeight="16.5"/>
  <cols>
    <col min="1" max="1" width="14" bestFit="1" customWidth="1"/>
    <col min="2" max="3" width="18.375" bestFit="1" customWidth="1"/>
    <col min="4" max="4" width="14.5" bestFit="1" customWidth="1"/>
    <col min="5" max="5" width="5.5" style="12" customWidth="1"/>
    <col min="6" max="6" width="19.25" bestFit="1" customWidth="1"/>
    <col min="7" max="7" width="14.5" bestFit="1" customWidth="1"/>
    <col min="8" max="8" width="12.125" bestFit="1" customWidth="1"/>
    <col min="9" max="9" width="10" style="12" customWidth="1"/>
    <col min="10" max="10" width="9" style="12"/>
    <col min="11" max="11" width="10.625" style="12" customWidth="1"/>
    <col min="13" max="17" width="10.125" style="12" bestFit="1" customWidth="1"/>
    <col min="18" max="18" width="34.375" bestFit="1" customWidth="1"/>
    <col min="19" max="19" width="20.875" customWidth="1"/>
  </cols>
  <sheetData>
    <row r="1" spans="1:19" ht="18" thickBot="1">
      <c r="A1" s="1" t="s">
        <v>0</v>
      </c>
      <c r="B1" s="2" t="s">
        <v>261</v>
      </c>
      <c r="C1" s="2" t="s">
        <v>56</v>
      </c>
      <c r="D1" s="2" t="s">
        <v>57</v>
      </c>
      <c r="E1" s="8" t="s">
        <v>10</v>
      </c>
      <c r="F1" s="2" t="s">
        <v>1</v>
      </c>
      <c r="G1" s="2" t="s">
        <v>2</v>
      </c>
      <c r="H1" s="2" t="s">
        <v>9</v>
      </c>
      <c r="I1" s="8" t="s">
        <v>3</v>
      </c>
      <c r="J1" s="8" t="s">
        <v>4</v>
      </c>
      <c r="K1" s="8" t="s">
        <v>7</v>
      </c>
      <c r="L1" s="2" t="s">
        <v>8</v>
      </c>
      <c r="M1" s="8" t="s">
        <v>170</v>
      </c>
      <c r="N1" s="8" t="s">
        <v>171</v>
      </c>
      <c r="O1" s="8" t="s">
        <v>172</v>
      </c>
      <c r="P1" s="8" t="s">
        <v>173</v>
      </c>
      <c r="Q1" s="8" t="s">
        <v>174</v>
      </c>
      <c r="R1" s="3" t="s">
        <v>169</v>
      </c>
      <c r="S1" s="19" t="s">
        <v>253</v>
      </c>
    </row>
    <row r="2" spans="1:19" ht="17.25" thickTop="1">
      <c r="A2" s="4" t="s">
        <v>6</v>
      </c>
      <c r="B2" s="4" t="s">
        <v>54</v>
      </c>
      <c r="C2" s="4" t="s">
        <v>5</v>
      </c>
      <c r="D2" s="4" t="s">
        <v>95</v>
      </c>
      <c r="E2" s="9">
        <v>2</v>
      </c>
      <c r="F2" s="4" t="s">
        <v>13</v>
      </c>
      <c r="G2" s="4" t="s">
        <v>14</v>
      </c>
      <c r="H2" s="4" t="s">
        <v>15</v>
      </c>
      <c r="I2" s="9" t="s">
        <v>246</v>
      </c>
      <c r="J2" s="9"/>
      <c r="K2" s="9">
        <v>48</v>
      </c>
      <c r="L2" s="4"/>
      <c r="M2" s="13">
        <v>40939</v>
      </c>
      <c r="N2" s="13">
        <v>41304</v>
      </c>
      <c r="O2" s="13">
        <v>41669</v>
      </c>
      <c r="P2" s="13">
        <v>42855</v>
      </c>
      <c r="Q2" s="13">
        <v>43131</v>
      </c>
      <c r="R2" s="4" t="s">
        <v>252</v>
      </c>
      <c r="S2" t="s">
        <v>254</v>
      </c>
    </row>
    <row r="3" spans="1:19">
      <c r="A3" s="5" t="s">
        <v>6</v>
      </c>
      <c r="B3" s="5" t="s">
        <v>54</v>
      </c>
      <c r="C3" s="5" t="s">
        <v>5</v>
      </c>
      <c r="D3" s="5" t="s">
        <v>95</v>
      </c>
      <c r="E3" s="10">
        <v>3</v>
      </c>
      <c r="F3" s="5" t="s">
        <v>11</v>
      </c>
      <c r="G3" s="5" t="s">
        <v>12</v>
      </c>
      <c r="H3" s="6" t="s">
        <v>15</v>
      </c>
      <c r="I3" s="10"/>
      <c r="J3" s="10" t="s">
        <v>247</v>
      </c>
      <c r="K3" s="10">
        <v>48</v>
      </c>
      <c r="L3" s="5"/>
      <c r="M3" s="14">
        <v>40939</v>
      </c>
      <c r="N3" s="14">
        <v>41304</v>
      </c>
      <c r="O3" s="14">
        <v>41669</v>
      </c>
      <c r="P3" s="14">
        <v>42855</v>
      </c>
      <c r="Q3" s="14">
        <v>43131</v>
      </c>
      <c r="R3" s="5" t="s">
        <v>252</v>
      </c>
      <c r="S3" t="s">
        <v>254</v>
      </c>
    </row>
    <row r="4" spans="1:19">
      <c r="A4" s="5" t="s">
        <v>6</v>
      </c>
      <c r="B4" s="5" t="s">
        <v>63</v>
      </c>
      <c r="C4" s="5" t="s">
        <v>249</v>
      </c>
      <c r="D4" s="5" t="s">
        <v>250</v>
      </c>
      <c r="E4" s="10" t="s">
        <v>60</v>
      </c>
      <c r="F4" s="5" t="s">
        <v>11</v>
      </c>
      <c r="G4" s="5" t="s">
        <v>251</v>
      </c>
      <c r="H4" s="6" t="s">
        <v>67</v>
      </c>
      <c r="I4" s="10"/>
      <c r="J4" s="10" t="s">
        <v>247</v>
      </c>
      <c r="K4" s="10">
        <v>48</v>
      </c>
      <c r="L4" s="5"/>
      <c r="M4" s="14">
        <v>40939</v>
      </c>
      <c r="N4" s="14">
        <v>41304</v>
      </c>
      <c r="O4" s="14">
        <v>41669</v>
      </c>
      <c r="P4" s="14">
        <v>42855</v>
      </c>
      <c r="Q4" s="14">
        <v>43131</v>
      </c>
      <c r="R4" s="5"/>
    </row>
    <row r="5" spans="1:19">
      <c r="A5" s="5" t="s">
        <v>6</v>
      </c>
      <c r="B5" s="5" t="s">
        <v>54</v>
      </c>
      <c r="C5" s="5" t="s">
        <v>94</v>
      </c>
      <c r="D5" s="5" t="s">
        <v>93</v>
      </c>
      <c r="E5" s="10" t="s">
        <v>60</v>
      </c>
      <c r="F5" s="5" t="s">
        <v>16</v>
      </c>
      <c r="G5" s="5" t="s">
        <v>17</v>
      </c>
      <c r="H5" s="5" t="s">
        <v>15</v>
      </c>
      <c r="I5" s="10" t="s">
        <v>246</v>
      </c>
      <c r="J5" s="10"/>
      <c r="K5" s="10" t="s">
        <v>175</v>
      </c>
      <c r="L5" s="5"/>
      <c r="M5" s="14">
        <v>40939</v>
      </c>
      <c r="N5" s="14">
        <v>41304</v>
      </c>
      <c r="O5" s="14">
        <v>41669</v>
      </c>
      <c r="P5" s="14">
        <v>42855</v>
      </c>
      <c r="Q5" s="14">
        <v>43131</v>
      </c>
      <c r="R5" s="5" t="s">
        <v>257</v>
      </c>
      <c r="S5" t="s">
        <v>255</v>
      </c>
    </row>
    <row r="6" spans="1:19">
      <c r="A6" s="5" t="s">
        <v>18</v>
      </c>
      <c r="B6" s="5" t="s">
        <v>54</v>
      </c>
      <c r="C6" s="5" t="s">
        <v>92</v>
      </c>
      <c r="D6" s="5" t="s">
        <v>91</v>
      </c>
      <c r="E6" s="10">
        <v>1</v>
      </c>
      <c r="F6" s="5" t="s">
        <v>22</v>
      </c>
      <c r="G6" s="5" t="s">
        <v>23</v>
      </c>
      <c r="H6" s="5" t="s">
        <v>21</v>
      </c>
      <c r="I6" s="10"/>
      <c r="J6" s="10" t="s">
        <v>247</v>
      </c>
      <c r="K6" s="10"/>
      <c r="L6" s="5">
        <v>48</v>
      </c>
      <c r="M6" s="14">
        <v>40182</v>
      </c>
      <c r="N6" s="14">
        <v>40364</v>
      </c>
      <c r="O6" s="14">
        <v>41459</v>
      </c>
      <c r="P6" s="14">
        <v>41912</v>
      </c>
      <c r="Q6" s="14">
        <v>42216</v>
      </c>
      <c r="R6" s="5" t="s">
        <v>256</v>
      </c>
    </row>
    <row r="7" spans="1:19">
      <c r="A7" s="5" t="s">
        <v>18</v>
      </c>
      <c r="B7" s="5" t="s">
        <v>54</v>
      </c>
      <c r="C7" s="5" t="s">
        <v>92</v>
      </c>
      <c r="D7" s="5" t="s">
        <v>91</v>
      </c>
      <c r="E7" s="10">
        <v>2</v>
      </c>
      <c r="F7" s="5" t="s">
        <v>22</v>
      </c>
      <c r="G7" s="5" t="s">
        <v>24</v>
      </c>
      <c r="H7" s="5" t="s">
        <v>21</v>
      </c>
      <c r="I7" s="10"/>
      <c r="J7" s="10" t="s">
        <v>247</v>
      </c>
      <c r="K7" s="10"/>
      <c r="L7" s="5">
        <v>48</v>
      </c>
      <c r="M7" s="14">
        <v>40182</v>
      </c>
      <c r="N7" s="14">
        <v>40364</v>
      </c>
      <c r="O7" s="14">
        <v>41459</v>
      </c>
      <c r="P7" s="14">
        <v>41912</v>
      </c>
      <c r="Q7" s="14">
        <v>42216</v>
      </c>
      <c r="R7" s="5" t="s">
        <v>256</v>
      </c>
    </row>
    <row r="8" spans="1:19">
      <c r="A8" s="5" t="s">
        <v>18</v>
      </c>
      <c r="B8" s="5" t="s">
        <v>54</v>
      </c>
      <c r="C8" s="5" t="s">
        <v>92</v>
      </c>
      <c r="D8" s="5" t="s">
        <v>91</v>
      </c>
      <c r="E8" s="10">
        <v>3</v>
      </c>
      <c r="F8" s="5" t="s">
        <v>19</v>
      </c>
      <c r="G8" s="5" t="s">
        <v>20</v>
      </c>
      <c r="H8" s="5" t="s">
        <v>21</v>
      </c>
      <c r="I8" s="10" t="s">
        <v>246</v>
      </c>
      <c r="J8" s="10"/>
      <c r="K8" s="10" t="s">
        <v>175</v>
      </c>
      <c r="L8" s="5"/>
      <c r="M8" s="14">
        <v>40939</v>
      </c>
      <c r="N8" s="14">
        <v>41304</v>
      </c>
      <c r="O8" s="14">
        <v>41669</v>
      </c>
      <c r="P8" s="14">
        <v>42855</v>
      </c>
      <c r="Q8" s="14">
        <v>43131</v>
      </c>
      <c r="R8" s="5"/>
    </row>
    <row r="9" spans="1:19">
      <c r="A9" s="5" t="s">
        <v>25</v>
      </c>
      <c r="B9" s="5" t="s">
        <v>54</v>
      </c>
      <c r="C9" s="5" t="s">
        <v>90</v>
      </c>
      <c r="D9" s="5" t="s">
        <v>89</v>
      </c>
      <c r="E9" s="10">
        <v>1</v>
      </c>
      <c r="F9" s="5" t="s">
        <v>22</v>
      </c>
      <c r="G9" s="5" t="s">
        <v>27</v>
      </c>
      <c r="H9" s="5" t="s">
        <v>21</v>
      </c>
      <c r="I9" s="10"/>
      <c r="J9" s="10" t="s">
        <v>247</v>
      </c>
      <c r="K9" s="10"/>
      <c r="L9" s="5">
        <v>48</v>
      </c>
      <c r="M9" s="14">
        <v>40182</v>
      </c>
      <c r="N9" s="14">
        <v>40364</v>
      </c>
      <c r="O9" s="14">
        <v>41459</v>
      </c>
      <c r="P9" s="14">
        <v>41912</v>
      </c>
      <c r="Q9" s="14">
        <v>42216</v>
      </c>
      <c r="R9" s="5"/>
    </row>
    <row r="10" spans="1:19">
      <c r="A10" s="5" t="s">
        <v>25</v>
      </c>
      <c r="B10" s="5" t="s">
        <v>54</v>
      </c>
      <c r="C10" s="5" t="s">
        <v>90</v>
      </c>
      <c r="D10" s="5" t="s">
        <v>89</v>
      </c>
      <c r="E10" s="10">
        <v>2</v>
      </c>
      <c r="F10" s="5" t="s">
        <v>19</v>
      </c>
      <c r="G10" s="5" t="s">
        <v>26</v>
      </c>
      <c r="H10" s="5" t="s">
        <v>21</v>
      </c>
      <c r="I10" s="10" t="s">
        <v>246</v>
      </c>
      <c r="J10" s="10"/>
      <c r="K10" s="10" t="s">
        <v>175</v>
      </c>
      <c r="L10" s="5"/>
      <c r="M10" s="14">
        <v>40939</v>
      </c>
      <c r="N10" s="14">
        <v>41304</v>
      </c>
      <c r="O10" s="14">
        <v>41669</v>
      </c>
      <c r="P10" s="14">
        <v>42855</v>
      </c>
      <c r="Q10" s="14">
        <v>43131</v>
      </c>
      <c r="R10" s="5"/>
    </row>
    <row r="11" spans="1:19">
      <c r="A11" s="5" t="s">
        <v>25</v>
      </c>
      <c r="B11" s="5" t="s">
        <v>54</v>
      </c>
      <c r="C11" s="5" t="s">
        <v>88</v>
      </c>
      <c r="D11" s="5" t="s">
        <v>87</v>
      </c>
      <c r="E11" s="10" t="s">
        <v>60</v>
      </c>
      <c r="F11" s="5" t="s">
        <v>29</v>
      </c>
      <c r="G11" s="5" t="s">
        <v>28</v>
      </c>
      <c r="H11" s="5" t="s">
        <v>30</v>
      </c>
      <c r="I11" s="10"/>
      <c r="J11" s="10"/>
      <c r="K11" s="10" t="s">
        <v>176</v>
      </c>
      <c r="L11" s="5">
        <v>24</v>
      </c>
      <c r="M11" s="14">
        <v>38483</v>
      </c>
      <c r="N11" s="14">
        <v>38839</v>
      </c>
      <c r="O11" s="14">
        <v>39204</v>
      </c>
      <c r="P11" s="14">
        <v>40576</v>
      </c>
      <c r="Q11" s="14">
        <v>40665</v>
      </c>
      <c r="R11" s="15" t="s">
        <v>258</v>
      </c>
    </row>
    <row r="12" spans="1:19">
      <c r="A12" s="5" t="s">
        <v>31</v>
      </c>
      <c r="B12" s="5" t="s">
        <v>54</v>
      </c>
      <c r="C12" s="5" t="s">
        <v>86</v>
      </c>
      <c r="D12" s="5" t="s">
        <v>85</v>
      </c>
      <c r="E12" s="10">
        <v>1</v>
      </c>
      <c r="F12" s="5" t="s">
        <v>22</v>
      </c>
      <c r="G12" s="5" t="s">
        <v>33</v>
      </c>
      <c r="H12" s="5" t="s">
        <v>21</v>
      </c>
      <c r="I12" s="10"/>
      <c r="J12" s="10" t="s">
        <v>247</v>
      </c>
      <c r="K12" s="10"/>
      <c r="L12" s="5">
        <v>48</v>
      </c>
      <c r="M12" s="14">
        <v>40182</v>
      </c>
      <c r="N12" s="14">
        <v>40364</v>
      </c>
      <c r="O12" s="14">
        <v>41459</v>
      </c>
      <c r="P12" s="14">
        <v>41912</v>
      </c>
      <c r="Q12" s="14">
        <v>42216</v>
      </c>
      <c r="R12" s="5"/>
    </row>
    <row r="13" spans="1:19">
      <c r="A13" s="5" t="s">
        <v>31</v>
      </c>
      <c r="B13" s="5" t="s">
        <v>54</v>
      </c>
      <c r="C13" s="5" t="s">
        <v>86</v>
      </c>
      <c r="D13" s="5" t="s">
        <v>85</v>
      </c>
      <c r="E13" s="10">
        <v>2</v>
      </c>
      <c r="F13" s="5" t="s">
        <v>22</v>
      </c>
      <c r="G13" s="5" t="s">
        <v>32</v>
      </c>
      <c r="H13" s="5" t="s">
        <v>21</v>
      </c>
      <c r="I13" s="10"/>
      <c r="J13" s="10" t="s">
        <v>247</v>
      </c>
      <c r="K13" s="10"/>
      <c r="L13" s="5">
        <v>48</v>
      </c>
      <c r="M13" s="14">
        <v>40182</v>
      </c>
      <c r="N13" s="14">
        <v>40364</v>
      </c>
      <c r="O13" s="14">
        <v>41459</v>
      </c>
      <c r="P13" s="14">
        <v>41912</v>
      </c>
      <c r="Q13" s="14">
        <v>42216</v>
      </c>
      <c r="R13" s="5"/>
    </row>
    <row r="14" spans="1:19">
      <c r="A14" s="5" t="s">
        <v>31</v>
      </c>
      <c r="B14" s="5" t="s">
        <v>54</v>
      </c>
      <c r="C14" s="5" t="s">
        <v>86</v>
      </c>
      <c r="D14" s="5" t="s">
        <v>85</v>
      </c>
      <c r="E14" s="10">
        <v>3</v>
      </c>
      <c r="F14" s="5" t="s">
        <v>19</v>
      </c>
      <c r="G14" s="5" t="s">
        <v>34</v>
      </c>
      <c r="H14" s="5" t="s">
        <v>21</v>
      </c>
      <c r="I14" s="10" t="s">
        <v>246</v>
      </c>
      <c r="J14" s="10"/>
      <c r="K14" s="10" t="s">
        <v>175</v>
      </c>
      <c r="L14" s="5"/>
      <c r="M14" s="14">
        <v>40939</v>
      </c>
      <c r="N14" s="14">
        <v>41304</v>
      </c>
      <c r="O14" s="14">
        <v>41669</v>
      </c>
      <c r="P14" s="14">
        <v>42855</v>
      </c>
      <c r="Q14" s="14">
        <v>43131</v>
      </c>
      <c r="R14" s="5"/>
    </row>
    <row r="15" spans="1:19">
      <c r="A15" s="5" t="s">
        <v>35</v>
      </c>
      <c r="B15" s="5" t="s">
        <v>54</v>
      </c>
      <c r="C15" s="5" t="s">
        <v>84</v>
      </c>
      <c r="D15" s="5" t="s">
        <v>83</v>
      </c>
      <c r="E15" s="10">
        <v>1</v>
      </c>
      <c r="F15" s="5" t="s">
        <v>19</v>
      </c>
      <c r="G15" s="5" t="s">
        <v>36</v>
      </c>
      <c r="H15" s="5" t="s">
        <v>21</v>
      </c>
      <c r="I15" s="10" t="s">
        <v>246</v>
      </c>
      <c r="J15" s="10"/>
      <c r="K15" s="10" t="s">
        <v>175</v>
      </c>
      <c r="L15" s="5"/>
      <c r="M15" s="14">
        <v>40939</v>
      </c>
      <c r="N15" s="14">
        <v>41304</v>
      </c>
      <c r="O15" s="14">
        <v>41669</v>
      </c>
      <c r="P15" s="14">
        <v>42855</v>
      </c>
      <c r="Q15" s="14">
        <v>43131</v>
      </c>
      <c r="R15" s="5"/>
    </row>
    <row r="16" spans="1:19">
      <c r="A16" s="5" t="s">
        <v>35</v>
      </c>
      <c r="B16" s="5" t="s">
        <v>54</v>
      </c>
      <c r="C16" s="5" t="s">
        <v>84</v>
      </c>
      <c r="D16" s="5" t="s">
        <v>83</v>
      </c>
      <c r="E16" s="10">
        <v>2</v>
      </c>
      <c r="F16" s="5" t="s">
        <v>22</v>
      </c>
      <c r="G16" s="5" t="s">
        <v>37</v>
      </c>
      <c r="H16" s="5" t="s">
        <v>21</v>
      </c>
      <c r="I16" s="10"/>
      <c r="J16" s="10" t="s">
        <v>247</v>
      </c>
      <c r="K16" s="10"/>
      <c r="L16" s="5">
        <v>48</v>
      </c>
      <c r="M16" s="14">
        <v>40182</v>
      </c>
      <c r="N16" s="14">
        <v>40364</v>
      </c>
      <c r="O16" s="14">
        <v>41459</v>
      </c>
      <c r="P16" s="14">
        <v>41912</v>
      </c>
      <c r="Q16" s="14">
        <v>42216</v>
      </c>
      <c r="R16" s="5"/>
    </row>
    <row r="17" spans="1:19">
      <c r="A17" s="5" t="s">
        <v>38</v>
      </c>
      <c r="B17" s="5" t="s">
        <v>54</v>
      </c>
      <c r="C17" s="5" t="s">
        <v>80</v>
      </c>
      <c r="D17" s="5" t="s">
        <v>79</v>
      </c>
      <c r="E17" s="10" t="s">
        <v>60</v>
      </c>
      <c r="F17" s="5" t="s">
        <v>41</v>
      </c>
      <c r="G17" s="5" t="s">
        <v>39</v>
      </c>
      <c r="H17" s="5" t="s">
        <v>40</v>
      </c>
      <c r="I17" s="10"/>
      <c r="J17" s="10"/>
      <c r="K17" s="10" t="s">
        <v>176</v>
      </c>
      <c r="L17" s="5">
        <v>24</v>
      </c>
      <c r="M17" s="10" t="s">
        <v>63</v>
      </c>
      <c r="N17" s="14">
        <v>37464</v>
      </c>
      <c r="O17" s="10" t="s">
        <v>63</v>
      </c>
      <c r="P17" s="10" t="s">
        <v>63</v>
      </c>
      <c r="Q17" s="14">
        <v>39290</v>
      </c>
      <c r="R17" s="15"/>
    </row>
    <row r="18" spans="1:19">
      <c r="A18" s="5" t="s">
        <v>38</v>
      </c>
      <c r="B18" s="5" t="s">
        <v>54</v>
      </c>
      <c r="C18" s="5" t="s">
        <v>82</v>
      </c>
      <c r="D18" s="5" t="s">
        <v>81</v>
      </c>
      <c r="E18" s="10">
        <v>1</v>
      </c>
      <c r="F18" s="5" t="s">
        <v>22</v>
      </c>
      <c r="G18" s="5" t="s">
        <v>42</v>
      </c>
      <c r="H18" s="5" t="s">
        <v>21</v>
      </c>
      <c r="I18" s="10"/>
      <c r="J18" s="10" t="s">
        <v>247</v>
      </c>
      <c r="K18" s="10"/>
      <c r="L18" s="5">
        <v>48</v>
      </c>
      <c r="M18" s="14">
        <v>40182</v>
      </c>
      <c r="N18" s="14">
        <v>40364</v>
      </c>
      <c r="O18" s="14">
        <v>41459</v>
      </c>
      <c r="P18" s="14">
        <v>41912</v>
      </c>
      <c r="Q18" s="14">
        <v>42216</v>
      </c>
      <c r="R18" s="5"/>
    </row>
    <row r="19" spans="1:19">
      <c r="A19" s="5" t="s">
        <v>38</v>
      </c>
      <c r="B19" s="5" t="s">
        <v>54</v>
      </c>
      <c r="C19" s="5" t="s">
        <v>82</v>
      </c>
      <c r="D19" s="5" t="s">
        <v>81</v>
      </c>
      <c r="E19" s="10">
        <v>2</v>
      </c>
      <c r="F19" s="5" t="s">
        <v>22</v>
      </c>
      <c r="G19" s="5" t="s">
        <v>43</v>
      </c>
      <c r="H19" s="5" t="s">
        <v>21</v>
      </c>
      <c r="I19" s="10"/>
      <c r="J19" s="10" t="s">
        <v>247</v>
      </c>
      <c r="K19" s="10"/>
      <c r="L19" s="5">
        <v>48</v>
      </c>
      <c r="M19" s="14">
        <v>40182</v>
      </c>
      <c r="N19" s="14">
        <v>40364</v>
      </c>
      <c r="O19" s="14">
        <v>41459</v>
      </c>
      <c r="P19" s="14">
        <v>41912</v>
      </c>
      <c r="Q19" s="14">
        <v>42216</v>
      </c>
      <c r="R19" s="5"/>
    </row>
    <row r="20" spans="1:19">
      <c r="A20" s="5" t="s">
        <v>38</v>
      </c>
      <c r="B20" s="5" t="s">
        <v>54</v>
      </c>
      <c r="C20" s="5" t="s">
        <v>82</v>
      </c>
      <c r="D20" s="5" t="s">
        <v>81</v>
      </c>
      <c r="E20" s="10">
        <v>3</v>
      </c>
      <c r="F20" s="5" t="s">
        <v>22</v>
      </c>
      <c r="G20" s="5" t="s">
        <v>44</v>
      </c>
      <c r="H20" s="5" t="s">
        <v>21</v>
      </c>
      <c r="I20" s="10"/>
      <c r="J20" s="10" t="s">
        <v>247</v>
      </c>
      <c r="K20" s="10"/>
      <c r="L20" s="5">
        <v>48</v>
      </c>
      <c r="M20" s="14">
        <v>40182</v>
      </c>
      <c r="N20" s="14">
        <v>40364</v>
      </c>
      <c r="O20" s="14">
        <v>41459</v>
      </c>
      <c r="P20" s="14">
        <v>41912</v>
      </c>
      <c r="Q20" s="14">
        <v>42216</v>
      </c>
      <c r="R20" s="5"/>
    </row>
    <row r="21" spans="1:19">
      <c r="A21" s="5" t="s">
        <v>38</v>
      </c>
      <c r="B21" s="5" t="s">
        <v>54</v>
      </c>
      <c r="C21" s="5" t="s">
        <v>82</v>
      </c>
      <c r="D21" s="5" t="s">
        <v>81</v>
      </c>
      <c r="E21" s="10">
        <v>4</v>
      </c>
      <c r="F21" s="5" t="s">
        <v>19</v>
      </c>
      <c r="G21" s="5" t="s">
        <v>45</v>
      </c>
      <c r="H21" s="5" t="s">
        <v>21</v>
      </c>
      <c r="I21" s="10" t="s">
        <v>246</v>
      </c>
      <c r="J21" s="10"/>
      <c r="K21" s="10" t="s">
        <v>175</v>
      </c>
      <c r="L21" s="5"/>
      <c r="M21" s="14">
        <v>40939</v>
      </c>
      <c r="N21" s="14">
        <v>41304</v>
      </c>
      <c r="O21" s="14">
        <v>41669</v>
      </c>
      <c r="P21" s="14">
        <v>42855</v>
      </c>
      <c r="Q21" s="14">
        <v>43131</v>
      </c>
      <c r="R21" s="5"/>
    </row>
    <row r="22" spans="1:19">
      <c r="A22" s="5" t="s">
        <v>46</v>
      </c>
      <c r="B22" s="5" t="s">
        <v>54</v>
      </c>
      <c r="C22" s="5" t="s">
        <v>78</v>
      </c>
      <c r="D22" s="5" t="s">
        <v>77</v>
      </c>
      <c r="E22" s="10" t="s">
        <v>60</v>
      </c>
      <c r="F22" s="5" t="s">
        <v>19</v>
      </c>
      <c r="G22" s="5" t="s">
        <v>47</v>
      </c>
      <c r="H22" s="5" t="s">
        <v>21</v>
      </c>
      <c r="I22" s="10" t="s">
        <v>246</v>
      </c>
      <c r="J22" s="10"/>
      <c r="K22" s="10" t="s">
        <v>175</v>
      </c>
      <c r="L22" s="5"/>
      <c r="M22" s="14">
        <v>40939</v>
      </c>
      <c r="N22" s="14">
        <v>41304</v>
      </c>
      <c r="O22" s="14">
        <v>41669</v>
      </c>
      <c r="P22" s="14">
        <v>42855</v>
      </c>
      <c r="Q22" s="14">
        <v>43131</v>
      </c>
      <c r="R22" s="5"/>
    </row>
    <row r="23" spans="1:19">
      <c r="A23" s="5" t="s">
        <v>48</v>
      </c>
      <c r="B23" s="5" t="s">
        <v>54</v>
      </c>
      <c r="C23" s="5" t="s">
        <v>76</v>
      </c>
      <c r="D23" s="5" t="s">
        <v>75</v>
      </c>
      <c r="E23" s="10" t="s">
        <v>60</v>
      </c>
      <c r="F23" s="5" t="s">
        <v>22</v>
      </c>
      <c r="G23" s="5" t="s">
        <v>50</v>
      </c>
      <c r="H23" s="5" t="s">
        <v>21</v>
      </c>
      <c r="I23" s="10"/>
      <c r="J23" s="10" t="s">
        <v>247</v>
      </c>
      <c r="K23" s="10"/>
      <c r="L23" s="5">
        <v>48</v>
      </c>
      <c r="M23" s="14">
        <v>40182</v>
      </c>
      <c r="N23" s="14">
        <v>40364</v>
      </c>
      <c r="O23" s="14">
        <v>41459</v>
      </c>
      <c r="P23" s="14">
        <v>41912</v>
      </c>
      <c r="Q23" s="14">
        <v>42216</v>
      </c>
      <c r="R23" s="5"/>
    </row>
    <row r="24" spans="1:19">
      <c r="A24" s="5" t="s">
        <v>49</v>
      </c>
      <c r="B24" s="5" t="s">
        <v>54</v>
      </c>
      <c r="C24" s="5" t="s">
        <v>69</v>
      </c>
      <c r="D24" s="5" t="s">
        <v>74</v>
      </c>
      <c r="E24" s="10">
        <v>1</v>
      </c>
      <c r="F24" s="5" t="s">
        <v>22</v>
      </c>
      <c r="G24" s="5" t="s">
        <v>52</v>
      </c>
      <c r="H24" s="5" t="s">
        <v>21</v>
      </c>
      <c r="I24" s="10"/>
      <c r="J24" s="10" t="s">
        <v>247</v>
      </c>
      <c r="K24" s="10"/>
      <c r="L24" s="5">
        <v>48</v>
      </c>
      <c r="M24" s="14">
        <v>40182</v>
      </c>
      <c r="N24" s="14">
        <v>40364</v>
      </c>
      <c r="O24" s="14">
        <v>41459</v>
      </c>
      <c r="P24" s="14">
        <v>41912</v>
      </c>
      <c r="Q24" s="14">
        <v>42216</v>
      </c>
      <c r="R24" s="5"/>
    </row>
    <row r="25" spans="1:19">
      <c r="A25" s="5" t="s">
        <v>49</v>
      </c>
      <c r="B25" s="5" t="s">
        <v>54</v>
      </c>
      <c r="C25" s="5" t="s">
        <v>69</v>
      </c>
      <c r="D25" s="5" t="s">
        <v>74</v>
      </c>
      <c r="E25" s="10">
        <v>2</v>
      </c>
      <c r="F25" s="5" t="s">
        <v>22</v>
      </c>
      <c r="G25" s="5" t="s">
        <v>53</v>
      </c>
      <c r="H25" s="5" t="s">
        <v>21</v>
      </c>
      <c r="I25" s="10"/>
      <c r="J25" s="10" t="s">
        <v>247</v>
      </c>
      <c r="K25" s="10"/>
      <c r="L25" s="5">
        <v>48</v>
      </c>
      <c r="M25" s="14">
        <v>40182</v>
      </c>
      <c r="N25" s="14">
        <v>40364</v>
      </c>
      <c r="O25" s="14">
        <v>41459</v>
      </c>
      <c r="P25" s="14">
        <v>41912</v>
      </c>
      <c r="Q25" s="14">
        <v>42216</v>
      </c>
      <c r="R25" s="5"/>
    </row>
    <row r="26" spans="1:19">
      <c r="A26" s="5" t="s">
        <v>49</v>
      </c>
      <c r="B26" s="5" t="s">
        <v>54</v>
      </c>
      <c r="C26" s="5" t="s">
        <v>69</v>
      </c>
      <c r="D26" s="5" t="s">
        <v>74</v>
      </c>
      <c r="E26" s="10">
        <v>3</v>
      </c>
      <c r="F26" s="5" t="s">
        <v>19</v>
      </c>
      <c r="G26" s="5" t="s">
        <v>51</v>
      </c>
      <c r="H26" s="5" t="s">
        <v>21</v>
      </c>
      <c r="I26" s="10" t="s">
        <v>246</v>
      </c>
      <c r="J26" s="10"/>
      <c r="K26" s="10" t="s">
        <v>175</v>
      </c>
      <c r="L26" s="5"/>
      <c r="M26" s="14">
        <v>40939</v>
      </c>
      <c r="N26" s="14">
        <v>41304</v>
      </c>
      <c r="O26" s="14">
        <v>41669</v>
      </c>
      <c r="P26" s="14">
        <v>42855</v>
      </c>
      <c r="Q26" s="14">
        <v>43131</v>
      </c>
      <c r="R26" s="5"/>
    </row>
    <row r="27" spans="1:19">
      <c r="A27" s="5" t="s">
        <v>38</v>
      </c>
      <c r="B27" s="5" t="s">
        <v>54</v>
      </c>
      <c r="C27" s="5" t="s">
        <v>58</v>
      </c>
      <c r="D27" s="5" t="s">
        <v>59</v>
      </c>
      <c r="E27" s="10" t="s">
        <v>60</v>
      </c>
      <c r="F27" s="5" t="s">
        <v>61</v>
      </c>
      <c r="G27" s="5" t="s">
        <v>62</v>
      </c>
      <c r="H27" s="5" t="s">
        <v>55</v>
      </c>
      <c r="I27" s="10"/>
      <c r="J27" s="10"/>
      <c r="K27" s="10">
        <v>2</v>
      </c>
      <c r="L27" s="5">
        <v>24</v>
      </c>
      <c r="M27" s="14">
        <v>38824</v>
      </c>
      <c r="N27" s="14">
        <v>39082</v>
      </c>
      <c r="O27" s="14">
        <v>39447</v>
      </c>
      <c r="P27" s="14">
        <v>40633</v>
      </c>
      <c r="Q27" s="14">
        <v>40907</v>
      </c>
      <c r="R27" s="16"/>
    </row>
    <row r="28" spans="1:19">
      <c r="A28" s="5" t="s">
        <v>38</v>
      </c>
      <c r="B28" s="5" t="s">
        <v>203</v>
      </c>
      <c r="C28" s="5" t="s">
        <v>185</v>
      </c>
      <c r="D28" s="15" t="s">
        <v>64</v>
      </c>
      <c r="E28" s="10" t="s">
        <v>60</v>
      </c>
      <c r="F28" s="16" t="s">
        <v>61</v>
      </c>
      <c r="G28" s="16" t="s">
        <v>177</v>
      </c>
      <c r="H28" s="16" t="s">
        <v>178</v>
      </c>
      <c r="I28" s="10"/>
      <c r="J28" s="10"/>
      <c r="K28" s="10">
        <v>2</v>
      </c>
      <c r="L28" s="5">
        <v>24</v>
      </c>
      <c r="M28" s="14">
        <v>38824</v>
      </c>
      <c r="N28" s="14">
        <v>39082</v>
      </c>
      <c r="O28" s="14">
        <v>39447</v>
      </c>
      <c r="P28" s="14">
        <v>40633</v>
      </c>
      <c r="Q28" s="14">
        <v>40907</v>
      </c>
      <c r="R28" s="15"/>
      <c r="S28" t="s">
        <v>259</v>
      </c>
    </row>
    <row r="29" spans="1:19">
      <c r="A29" s="5" t="s">
        <v>38</v>
      </c>
      <c r="B29" s="5" t="s">
        <v>54</v>
      </c>
      <c r="C29" s="5" t="s">
        <v>184</v>
      </c>
      <c r="D29" s="16" t="s">
        <v>183</v>
      </c>
      <c r="E29" s="17" t="s">
        <v>60</v>
      </c>
      <c r="F29" s="16" t="s">
        <v>65</v>
      </c>
      <c r="G29" s="16" t="s">
        <v>182</v>
      </c>
      <c r="H29" s="16" t="s">
        <v>114</v>
      </c>
      <c r="I29" s="10"/>
      <c r="J29" s="10"/>
      <c r="K29" s="10">
        <v>2</v>
      </c>
      <c r="L29" s="5">
        <v>24</v>
      </c>
      <c r="M29" s="10" t="s">
        <v>63</v>
      </c>
      <c r="N29" s="10" t="s">
        <v>63</v>
      </c>
      <c r="O29" s="10" t="s">
        <v>63</v>
      </c>
      <c r="P29" s="10" t="s">
        <v>63</v>
      </c>
      <c r="Q29" s="10" t="s">
        <v>63</v>
      </c>
      <c r="R29" s="15"/>
      <c r="S29" s="20" t="s">
        <v>259</v>
      </c>
    </row>
    <row r="30" spans="1:19">
      <c r="A30" s="5" t="s">
        <v>38</v>
      </c>
      <c r="B30" s="5" t="s">
        <v>203</v>
      </c>
      <c r="C30" s="5" t="s">
        <v>100</v>
      </c>
      <c r="D30" s="5" t="s">
        <v>101</v>
      </c>
      <c r="E30" s="10" t="s">
        <v>60</v>
      </c>
      <c r="F30" s="5" t="s">
        <v>102</v>
      </c>
      <c r="G30" s="5" t="s">
        <v>104</v>
      </c>
      <c r="H30" s="5" t="s">
        <v>103</v>
      </c>
      <c r="I30" s="10"/>
      <c r="J30" s="10"/>
      <c r="K30" s="10"/>
      <c r="L30" s="5">
        <v>24</v>
      </c>
      <c r="M30" s="14">
        <v>39377</v>
      </c>
      <c r="N30" s="14">
        <v>39742</v>
      </c>
      <c r="O30" s="14">
        <v>40107</v>
      </c>
      <c r="P30" s="14">
        <v>41293</v>
      </c>
      <c r="Q30" s="14">
        <v>41567</v>
      </c>
      <c r="R30" s="5"/>
    </row>
    <row r="31" spans="1:19">
      <c r="A31" s="5" t="s">
        <v>38</v>
      </c>
      <c r="B31" s="5" t="s">
        <v>54</v>
      </c>
      <c r="C31" s="5" t="s">
        <v>96</v>
      </c>
      <c r="D31" s="5" t="s">
        <v>97</v>
      </c>
      <c r="E31" s="10" t="s">
        <v>60</v>
      </c>
      <c r="F31" s="5" t="s">
        <v>61</v>
      </c>
      <c r="G31" s="5" t="s">
        <v>98</v>
      </c>
      <c r="H31" s="5" t="s">
        <v>99</v>
      </c>
      <c r="I31" s="10"/>
      <c r="J31" s="10"/>
      <c r="K31" s="10">
        <v>2</v>
      </c>
      <c r="L31" s="5">
        <v>24</v>
      </c>
      <c r="M31" s="14">
        <v>38824</v>
      </c>
      <c r="N31" s="14">
        <v>39082</v>
      </c>
      <c r="O31" s="14">
        <v>39447</v>
      </c>
      <c r="P31" s="14">
        <v>40633</v>
      </c>
      <c r="Q31" s="14">
        <v>40907</v>
      </c>
      <c r="R31" s="5"/>
    </row>
    <row r="32" spans="1:19">
      <c r="A32" s="5" t="s">
        <v>108</v>
      </c>
      <c r="B32" s="5" t="s">
        <v>69</v>
      </c>
      <c r="C32" s="5" t="s">
        <v>120</v>
      </c>
      <c r="D32" s="5" t="s">
        <v>68</v>
      </c>
      <c r="E32" s="10" t="s">
        <v>60</v>
      </c>
      <c r="F32" s="5" t="s">
        <v>65</v>
      </c>
      <c r="G32" s="5" t="s">
        <v>66</v>
      </c>
      <c r="H32" s="5" t="s">
        <v>67</v>
      </c>
      <c r="I32" s="10"/>
      <c r="J32" s="10"/>
      <c r="K32" s="10">
        <v>2</v>
      </c>
      <c r="L32" s="5">
        <v>24</v>
      </c>
      <c r="M32" s="10" t="s">
        <v>63</v>
      </c>
      <c r="N32" s="10" t="s">
        <v>63</v>
      </c>
      <c r="O32" s="10" t="s">
        <v>63</v>
      </c>
      <c r="P32" s="10" t="s">
        <v>63</v>
      </c>
      <c r="Q32" s="10" t="s">
        <v>63</v>
      </c>
      <c r="R32" s="5"/>
    </row>
    <row r="33" spans="1:18">
      <c r="A33" s="5" t="s">
        <v>109</v>
      </c>
      <c r="B33" s="5" t="s">
        <v>69</v>
      </c>
      <c r="C33" s="5" t="s">
        <v>119</v>
      </c>
      <c r="D33" s="5" t="s">
        <v>70</v>
      </c>
      <c r="E33" s="10" t="s">
        <v>60</v>
      </c>
      <c r="F33" s="5" t="s">
        <v>65</v>
      </c>
      <c r="G33" s="5" t="s">
        <v>72</v>
      </c>
      <c r="H33" s="5" t="s">
        <v>67</v>
      </c>
      <c r="I33" s="10"/>
      <c r="J33" s="10"/>
      <c r="K33" s="10">
        <v>2</v>
      </c>
      <c r="L33" s="5">
        <v>24</v>
      </c>
      <c r="M33" s="10" t="s">
        <v>63</v>
      </c>
      <c r="N33" s="10" t="s">
        <v>63</v>
      </c>
      <c r="O33" s="10" t="s">
        <v>63</v>
      </c>
      <c r="P33" s="10" t="s">
        <v>63</v>
      </c>
      <c r="Q33" s="10" t="s">
        <v>63</v>
      </c>
      <c r="R33" s="5"/>
    </row>
    <row r="34" spans="1:18">
      <c r="A34" s="5" t="s">
        <v>110</v>
      </c>
      <c r="B34" s="5" t="s">
        <v>69</v>
      </c>
      <c r="C34" s="5" t="s">
        <v>121</v>
      </c>
      <c r="D34" s="5" t="s">
        <v>71</v>
      </c>
      <c r="E34" s="10" t="s">
        <v>60</v>
      </c>
      <c r="F34" s="5" t="s">
        <v>65</v>
      </c>
      <c r="G34" s="5" t="s">
        <v>73</v>
      </c>
      <c r="H34" s="5" t="s">
        <v>67</v>
      </c>
      <c r="I34" s="10"/>
      <c r="J34" s="10"/>
      <c r="K34" s="10">
        <v>2</v>
      </c>
      <c r="L34" s="5">
        <v>24</v>
      </c>
      <c r="M34" s="10" t="s">
        <v>63</v>
      </c>
      <c r="N34" s="10" t="s">
        <v>63</v>
      </c>
      <c r="O34" s="10" t="s">
        <v>63</v>
      </c>
      <c r="P34" s="10" t="s">
        <v>63</v>
      </c>
      <c r="Q34" s="10" t="s">
        <v>63</v>
      </c>
      <c r="R34" s="5"/>
    </row>
    <row r="35" spans="1:18">
      <c r="A35" s="5" t="s">
        <v>188</v>
      </c>
      <c r="B35" s="5" t="s">
        <v>90</v>
      </c>
      <c r="C35" s="5" t="s">
        <v>107</v>
      </c>
      <c r="D35" s="5" t="s">
        <v>105</v>
      </c>
      <c r="E35" s="10" t="s">
        <v>60</v>
      </c>
      <c r="F35" s="5" t="s">
        <v>65</v>
      </c>
      <c r="G35" s="5" t="s">
        <v>106</v>
      </c>
      <c r="H35" s="5" t="s">
        <v>67</v>
      </c>
      <c r="I35" s="10"/>
      <c r="J35" s="10"/>
      <c r="K35" s="10">
        <v>2</v>
      </c>
      <c r="L35" s="5">
        <v>24</v>
      </c>
      <c r="M35" s="10" t="s">
        <v>63</v>
      </c>
      <c r="N35" s="10" t="s">
        <v>63</v>
      </c>
      <c r="O35" s="10" t="s">
        <v>63</v>
      </c>
      <c r="P35" s="10" t="s">
        <v>63</v>
      </c>
      <c r="Q35" s="10" t="s">
        <v>63</v>
      </c>
      <c r="R35" s="5"/>
    </row>
    <row r="36" spans="1:18">
      <c r="A36" s="5" t="s">
        <v>187</v>
      </c>
      <c r="B36" s="5" t="s">
        <v>86</v>
      </c>
      <c r="C36" s="5" t="s">
        <v>111</v>
      </c>
      <c r="D36" s="5" t="s">
        <v>112</v>
      </c>
      <c r="E36" s="10" t="s">
        <v>60</v>
      </c>
      <c r="F36" s="5" t="s">
        <v>65</v>
      </c>
      <c r="G36" s="5" t="s">
        <v>113</v>
      </c>
      <c r="H36" s="5" t="s">
        <v>114</v>
      </c>
      <c r="I36" s="10"/>
      <c r="J36" s="10"/>
      <c r="K36" s="10">
        <v>2</v>
      </c>
      <c r="L36" s="5">
        <v>24</v>
      </c>
      <c r="M36" s="10" t="s">
        <v>63</v>
      </c>
      <c r="N36" s="10" t="s">
        <v>63</v>
      </c>
      <c r="O36" s="10" t="s">
        <v>63</v>
      </c>
      <c r="P36" s="10" t="s">
        <v>63</v>
      </c>
      <c r="Q36" s="10" t="s">
        <v>63</v>
      </c>
      <c r="R36" s="5"/>
    </row>
    <row r="37" spans="1:18">
      <c r="A37" s="5" t="s">
        <v>194</v>
      </c>
      <c r="B37" s="5" t="s">
        <v>86</v>
      </c>
      <c r="C37" s="5" t="s">
        <v>190</v>
      </c>
      <c r="D37" s="5" t="s">
        <v>191</v>
      </c>
      <c r="E37" s="10" t="s">
        <v>60</v>
      </c>
      <c r="F37" s="5" t="s">
        <v>65</v>
      </c>
      <c r="G37" s="5" t="s">
        <v>192</v>
      </c>
      <c r="H37" s="5" t="s">
        <v>193</v>
      </c>
      <c r="I37" s="10"/>
      <c r="J37" s="10"/>
      <c r="K37" s="10">
        <v>2</v>
      </c>
      <c r="L37" s="5">
        <v>24</v>
      </c>
      <c r="M37" s="10" t="s">
        <v>63</v>
      </c>
      <c r="N37" s="10" t="s">
        <v>63</v>
      </c>
      <c r="O37" s="10" t="s">
        <v>63</v>
      </c>
      <c r="P37" s="10" t="s">
        <v>63</v>
      </c>
      <c r="Q37" s="10" t="s">
        <v>63</v>
      </c>
      <c r="R37" s="5"/>
    </row>
    <row r="38" spans="1:18">
      <c r="A38" s="5" t="s">
        <v>115</v>
      </c>
      <c r="B38" s="5" t="s">
        <v>84</v>
      </c>
      <c r="C38" s="5" t="s">
        <v>118</v>
      </c>
      <c r="D38" s="5" t="s">
        <v>116</v>
      </c>
      <c r="E38" s="10" t="s">
        <v>60</v>
      </c>
      <c r="F38" s="5" t="s">
        <v>65</v>
      </c>
      <c r="G38" s="5" t="s">
        <v>117</v>
      </c>
      <c r="H38" s="5" t="s">
        <v>67</v>
      </c>
      <c r="I38" s="10"/>
      <c r="J38" s="10"/>
      <c r="K38" s="10">
        <v>2</v>
      </c>
      <c r="L38" s="5">
        <v>24</v>
      </c>
      <c r="M38" s="10" t="s">
        <v>63</v>
      </c>
      <c r="N38" s="10" t="s">
        <v>63</v>
      </c>
      <c r="O38" s="10" t="s">
        <v>63</v>
      </c>
      <c r="P38" s="10" t="s">
        <v>63</v>
      </c>
      <c r="Q38" s="10" t="s">
        <v>63</v>
      </c>
      <c r="R38" s="5"/>
    </row>
    <row r="39" spans="1:18">
      <c r="A39" s="5" t="s">
        <v>122</v>
      </c>
      <c r="B39" s="5" t="s">
        <v>92</v>
      </c>
      <c r="C39" s="5" t="s">
        <v>125</v>
      </c>
      <c r="D39" s="5" t="s">
        <v>123</v>
      </c>
      <c r="E39" s="10" t="s">
        <v>60</v>
      </c>
      <c r="F39" s="5" t="s">
        <v>65</v>
      </c>
      <c r="G39" s="5" t="s">
        <v>124</v>
      </c>
      <c r="H39" s="5" t="s">
        <v>67</v>
      </c>
      <c r="I39" s="10"/>
      <c r="J39" s="10"/>
      <c r="K39" s="10">
        <v>2</v>
      </c>
      <c r="L39" s="5">
        <v>24</v>
      </c>
      <c r="M39" s="10" t="s">
        <v>63</v>
      </c>
      <c r="N39" s="10" t="s">
        <v>63</v>
      </c>
      <c r="O39" s="10" t="s">
        <v>63</v>
      </c>
      <c r="P39" s="10" t="s">
        <v>63</v>
      </c>
      <c r="Q39" s="10" t="s">
        <v>63</v>
      </c>
      <c r="R39" s="5"/>
    </row>
    <row r="40" spans="1:18">
      <c r="A40" s="5" t="s">
        <v>128</v>
      </c>
      <c r="B40" s="5" t="s">
        <v>92</v>
      </c>
      <c r="C40" s="5" t="s">
        <v>129</v>
      </c>
      <c r="D40" s="5" t="s">
        <v>126</v>
      </c>
      <c r="E40" s="10" t="s">
        <v>60</v>
      </c>
      <c r="F40" s="5" t="s">
        <v>65</v>
      </c>
      <c r="G40" s="5" t="s">
        <v>127</v>
      </c>
      <c r="H40" s="5" t="s">
        <v>67</v>
      </c>
      <c r="I40" s="10"/>
      <c r="J40" s="10"/>
      <c r="K40" s="10">
        <v>2</v>
      </c>
      <c r="L40" s="5">
        <v>24</v>
      </c>
      <c r="M40" s="10" t="s">
        <v>63</v>
      </c>
      <c r="N40" s="10" t="s">
        <v>63</v>
      </c>
      <c r="O40" s="10" t="s">
        <v>63</v>
      </c>
      <c r="P40" s="10" t="s">
        <v>63</v>
      </c>
      <c r="Q40" s="10" t="s">
        <v>63</v>
      </c>
      <c r="R40" s="5"/>
    </row>
    <row r="41" spans="1:18">
      <c r="A41" s="5" t="s">
        <v>130</v>
      </c>
      <c r="B41" s="5" t="s">
        <v>92</v>
      </c>
      <c r="C41" s="5" t="s">
        <v>131</v>
      </c>
      <c r="D41" s="5" t="s">
        <v>132</v>
      </c>
      <c r="E41" s="10" t="s">
        <v>60</v>
      </c>
      <c r="F41" s="5" t="s">
        <v>65</v>
      </c>
      <c r="G41" s="5" t="s">
        <v>133</v>
      </c>
      <c r="H41" s="5" t="s">
        <v>67</v>
      </c>
      <c r="I41" s="10"/>
      <c r="J41" s="10"/>
      <c r="K41" s="10">
        <v>2</v>
      </c>
      <c r="L41" s="5">
        <v>24</v>
      </c>
      <c r="M41" s="10" t="s">
        <v>63</v>
      </c>
      <c r="N41" s="10" t="s">
        <v>63</v>
      </c>
      <c r="O41" s="10" t="s">
        <v>63</v>
      </c>
      <c r="P41" s="10" t="s">
        <v>63</v>
      </c>
      <c r="Q41" s="10" t="s">
        <v>63</v>
      </c>
      <c r="R41" s="5"/>
    </row>
    <row r="42" spans="1:18">
      <c r="A42" s="5" t="s">
        <v>134</v>
      </c>
      <c r="B42" s="5" t="s">
        <v>92</v>
      </c>
      <c r="C42" s="5" t="s">
        <v>135</v>
      </c>
      <c r="D42" s="5" t="s">
        <v>136</v>
      </c>
      <c r="E42" s="10" t="s">
        <v>60</v>
      </c>
      <c r="F42" s="5" t="s">
        <v>65</v>
      </c>
      <c r="G42" s="5" t="s">
        <v>137</v>
      </c>
      <c r="H42" s="5" t="s">
        <v>67</v>
      </c>
      <c r="I42" s="10"/>
      <c r="J42" s="10"/>
      <c r="K42" s="10">
        <v>2</v>
      </c>
      <c r="L42" s="5">
        <v>24</v>
      </c>
      <c r="M42" s="10" t="s">
        <v>63</v>
      </c>
      <c r="N42" s="10" t="s">
        <v>63</v>
      </c>
      <c r="O42" s="10" t="s">
        <v>63</v>
      </c>
      <c r="P42" s="10" t="s">
        <v>63</v>
      </c>
      <c r="Q42" s="10" t="s">
        <v>63</v>
      </c>
      <c r="R42" s="5"/>
    </row>
    <row r="43" spans="1:18">
      <c r="A43" s="5" t="s">
        <v>138</v>
      </c>
      <c r="B43" s="5" t="s">
        <v>92</v>
      </c>
      <c r="C43" s="5" t="s">
        <v>141</v>
      </c>
      <c r="D43" s="5" t="s">
        <v>139</v>
      </c>
      <c r="E43" s="10" t="s">
        <v>60</v>
      </c>
      <c r="F43" s="5" t="s">
        <v>65</v>
      </c>
      <c r="G43" s="5" t="s">
        <v>140</v>
      </c>
      <c r="H43" s="5" t="s">
        <v>67</v>
      </c>
      <c r="I43" s="10"/>
      <c r="J43" s="10"/>
      <c r="K43" s="10">
        <v>2</v>
      </c>
      <c r="L43" s="5">
        <v>24</v>
      </c>
      <c r="M43" s="10" t="s">
        <v>63</v>
      </c>
      <c r="N43" s="10" t="s">
        <v>63</v>
      </c>
      <c r="O43" s="10" t="s">
        <v>63</v>
      </c>
      <c r="P43" s="10" t="s">
        <v>63</v>
      </c>
      <c r="Q43" s="10" t="s">
        <v>63</v>
      </c>
      <c r="R43" s="5"/>
    </row>
    <row r="44" spans="1:18">
      <c r="A44" s="5" t="s">
        <v>142</v>
      </c>
      <c r="B44" s="5" t="s">
        <v>92</v>
      </c>
      <c r="C44" s="5" t="s">
        <v>143</v>
      </c>
      <c r="D44" s="5" t="s">
        <v>144</v>
      </c>
      <c r="E44" s="10" t="s">
        <v>60</v>
      </c>
      <c r="F44" s="5" t="s">
        <v>65</v>
      </c>
      <c r="G44" s="5" t="s">
        <v>145</v>
      </c>
      <c r="H44" s="5" t="s">
        <v>67</v>
      </c>
      <c r="I44" s="10"/>
      <c r="J44" s="10"/>
      <c r="K44" s="10">
        <v>2</v>
      </c>
      <c r="L44" s="5">
        <v>24</v>
      </c>
      <c r="M44" s="10" t="s">
        <v>63</v>
      </c>
      <c r="N44" s="10" t="s">
        <v>63</v>
      </c>
      <c r="O44" s="10" t="s">
        <v>63</v>
      </c>
      <c r="P44" s="10" t="s">
        <v>63</v>
      </c>
      <c r="Q44" s="10" t="s">
        <v>63</v>
      </c>
      <c r="R44" s="5"/>
    </row>
    <row r="45" spans="1:18">
      <c r="A45" s="5" t="s">
        <v>221</v>
      </c>
      <c r="B45" s="5" t="s">
        <v>92</v>
      </c>
      <c r="C45" s="5" t="s">
        <v>149</v>
      </c>
      <c r="D45" s="5" t="s">
        <v>147</v>
      </c>
      <c r="E45" s="10" t="s">
        <v>60</v>
      </c>
      <c r="F45" s="5" t="s">
        <v>65</v>
      </c>
      <c r="G45" s="5" t="s">
        <v>148</v>
      </c>
      <c r="H45" s="5" t="s">
        <v>67</v>
      </c>
      <c r="I45" s="10"/>
      <c r="J45" s="10"/>
      <c r="K45" s="10">
        <v>2</v>
      </c>
      <c r="L45" s="5">
        <v>24</v>
      </c>
      <c r="M45" s="10" t="s">
        <v>63</v>
      </c>
      <c r="N45" s="10" t="s">
        <v>63</v>
      </c>
      <c r="O45" s="10" t="s">
        <v>63</v>
      </c>
      <c r="P45" s="10" t="s">
        <v>63</v>
      </c>
      <c r="Q45" s="10" t="s">
        <v>63</v>
      </c>
      <c r="R45" s="5" t="s">
        <v>260</v>
      </c>
    </row>
    <row r="46" spans="1:18">
      <c r="A46" s="5" t="s">
        <v>150</v>
      </c>
      <c r="B46" s="5" t="s">
        <v>92</v>
      </c>
      <c r="C46" s="5" t="s">
        <v>153</v>
      </c>
      <c r="D46" s="5" t="s">
        <v>151</v>
      </c>
      <c r="E46" s="10" t="s">
        <v>60</v>
      </c>
      <c r="F46" s="5" t="s">
        <v>65</v>
      </c>
      <c r="G46" s="5" t="s">
        <v>152</v>
      </c>
      <c r="H46" s="5" t="s">
        <v>67</v>
      </c>
      <c r="I46" s="10"/>
      <c r="J46" s="10"/>
      <c r="K46" s="10">
        <v>2</v>
      </c>
      <c r="L46" s="5">
        <v>24</v>
      </c>
      <c r="M46" s="10" t="s">
        <v>63</v>
      </c>
      <c r="N46" s="10" t="s">
        <v>63</v>
      </c>
      <c r="O46" s="10" t="s">
        <v>63</v>
      </c>
      <c r="P46" s="10" t="s">
        <v>63</v>
      </c>
      <c r="Q46" s="10" t="s">
        <v>63</v>
      </c>
      <c r="R46" s="5"/>
    </row>
    <row r="47" spans="1:18">
      <c r="A47" s="5" t="s">
        <v>154</v>
      </c>
      <c r="B47" s="5" t="s">
        <v>92</v>
      </c>
      <c r="C47" s="5" t="s">
        <v>157</v>
      </c>
      <c r="D47" s="5" t="s">
        <v>155</v>
      </c>
      <c r="E47" s="10" t="s">
        <v>60</v>
      </c>
      <c r="F47" s="5" t="s">
        <v>61</v>
      </c>
      <c r="G47" s="5" t="s">
        <v>156</v>
      </c>
      <c r="H47" s="5" t="s">
        <v>103</v>
      </c>
      <c r="I47" s="10"/>
      <c r="J47" s="10"/>
      <c r="K47" s="10">
        <v>2</v>
      </c>
      <c r="L47" s="5">
        <v>24</v>
      </c>
      <c r="M47" s="14">
        <v>38824</v>
      </c>
      <c r="N47" s="14">
        <v>39082</v>
      </c>
      <c r="O47" s="14">
        <v>39447</v>
      </c>
      <c r="P47" s="14">
        <v>40633</v>
      </c>
      <c r="Q47" s="14">
        <v>40907</v>
      </c>
      <c r="R47" s="5"/>
    </row>
    <row r="48" spans="1:18">
      <c r="A48" s="5" t="s">
        <v>154</v>
      </c>
      <c r="B48" s="5" t="s">
        <v>157</v>
      </c>
      <c r="C48" s="5" t="s">
        <v>160</v>
      </c>
      <c r="D48" s="5" t="s">
        <v>158</v>
      </c>
      <c r="E48" s="10" t="s">
        <v>60</v>
      </c>
      <c r="F48" s="5" t="s">
        <v>61</v>
      </c>
      <c r="G48" s="5" t="s">
        <v>159</v>
      </c>
      <c r="H48" s="5" t="s">
        <v>55</v>
      </c>
      <c r="I48" s="10"/>
      <c r="J48" s="10"/>
      <c r="K48" s="10">
        <v>2</v>
      </c>
      <c r="L48" s="5">
        <v>24</v>
      </c>
      <c r="M48" s="14">
        <v>38824</v>
      </c>
      <c r="N48" s="14">
        <v>39082</v>
      </c>
      <c r="O48" s="14">
        <v>39447</v>
      </c>
      <c r="P48" s="14">
        <v>40633</v>
      </c>
      <c r="Q48" s="14">
        <v>40907</v>
      </c>
      <c r="R48" s="5"/>
    </row>
    <row r="49" spans="1:18">
      <c r="A49" s="5" t="s">
        <v>165</v>
      </c>
      <c r="B49" s="5" t="s">
        <v>92</v>
      </c>
      <c r="C49" s="5" t="s">
        <v>161</v>
      </c>
      <c r="D49" s="5" t="s">
        <v>164</v>
      </c>
      <c r="E49" s="10" t="s">
        <v>60</v>
      </c>
      <c r="F49" s="5" t="s">
        <v>167</v>
      </c>
      <c r="G49" s="5" t="s">
        <v>168</v>
      </c>
      <c r="H49" s="5" t="s">
        <v>166</v>
      </c>
      <c r="I49" s="10"/>
      <c r="J49" s="10"/>
      <c r="K49" s="10"/>
      <c r="L49" s="5">
        <v>24</v>
      </c>
      <c r="M49" s="14">
        <v>37196</v>
      </c>
      <c r="N49" s="14">
        <v>37196</v>
      </c>
      <c r="O49" s="10" t="s">
        <v>63</v>
      </c>
      <c r="P49" s="10" t="s">
        <v>63</v>
      </c>
      <c r="Q49" s="14">
        <v>39022</v>
      </c>
      <c r="R49" s="5"/>
    </row>
    <row r="50" spans="1:18">
      <c r="A50" s="5" t="s">
        <v>38</v>
      </c>
      <c r="B50" s="5" t="s">
        <v>195</v>
      </c>
      <c r="C50" s="5" t="s">
        <v>179</v>
      </c>
      <c r="D50" s="15" t="s">
        <v>64</v>
      </c>
      <c r="E50" s="10" t="s">
        <v>60</v>
      </c>
      <c r="F50" s="5" t="s">
        <v>167</v>
      </c>
      <c r="G50" s="5" t="s">
        <v>180</v>
      </c>
      <c r="H50" s="5" t="s">
        <v>181</v>
      </c>
      <c r="I50" s="10"/>
      <c r="J50" s="10"/>
      <c r="K50" s="10"/>
      <c r="L50" s="5">
        <v>24</v>
      </c>
      <c r="M50" s="14">
        <v>37196</v>
      </c>
      <c r="N50" s="14">
        <v>37196</v>
      </c>
      <c r="O50" s="10" t="s">
        <v>63</v>
      </c>
      <c r="P50" s="10" t="s">
        <v>63</v>
      </c>
      <c r="Q50" s="14">
        <v>39022</v>
      </c>
      <c r="R50" s="5" t="s">
        <v>186</v>
      </c>
    </row>
    <row r="51" spans="1:18">
      <c r="A51" s="5" t="s">
        <v>38</v>
      </c>
      <c r="B51" s="5" t="s">
        <v>185</v>
      </c>
      <c r="C51" s="5" t="s">
        <v>195</v>
      </c>
      <c r="D51" s="16" t="s">
        <v>196</v>
      </c>
      <c r="E51" s="10" t="s">
        <v>63</v>
      </c>
      <c r="F51" s="5" t="s">
        <v>197</v>
      </c>
      <c r="G51" s="5" t="s">
        <v>200</v>
      </c>
      <c r="H51" s="5" t="s">
        <v>198</v>
      </c>
      <c r="I51" s="10"/>
      <c r="J51" s="10"/>
      <c r="K51" s="10">
        <v>4</v>
      </c>
      <c r="L51" s="5"/>
      <c r="M51" s="10" t="s">
        <v>63</v>
      </c>
      <c r="N51" s="10" t="s">
        <v>63</v>
      </c>
      <c r="O51" s="10" t="s">
        <v>63</v>
      </c>
      <c r="P51" s="10" t="s">
        <v>63</v>
      </c>
      <c r="Q51" s="10" t="s">
        <v>63</v>
      </c>
      <c r="R51" s="5"/>
    </row>
    <row r="52" spans="1:18">
      <c r="A52" s="5" t="s">
        <v>38</v>
      </c>
      <c r="B52" s="5" t="s">
        <v>185</v>
      </c>
      <c r="C52" s="5" t="s">
        <v>195</v>
      </c>
      <c r="D52" s="16" t="s">
        <v>199</v>
      </c>
      <c r="E52" s="10" t="s">
        <v>63</v>
      </c>
      <c r="F52" s="5" t="s">
        <v>197</v>
      </c>
      <c r="G52" s="5" t="s">
        <v>201</v>
      </c>
      <c r="H52" s="5" t="s">
        <v>198</v>
      </c>
      <c r="I52" s="10"/>
      <c r="J52" s="10"/>
      <c r="K52" s="10">
        <v>4</v>
      </c>
      <c r="L52" s="5"/>
      <c r="M52" s="10" t="s">
        <v>63</v>
      </c>
      <c r="N52" s="10" t="s">
        <v>63</v>
      </c>
      <c r="O52" s="10" t="s">
        <v>63</v>
      </c>
      <c r="P52" s="10" t="s">
        <v>63</v>
      </c>
      <c r="Q52" s="10" t="s">
        <v>63</v>
      </c>
      <c r="R52" s="5"/>
    </row>
    <row r="53" spans="1:18">
      <c r="A53" s="5" t="s">
        <v>38</v>
      </c>
      <c r="B53" s="5" t="s">
        <v>184</v>
      </c>
      <c r="C53" s="5" t="s">
        <v>203</v>
      </c>
      <c r="D53" s="16" t="s">
        <v>202</v>
      </c>
      <c r="E53" s="10" t="s">
        <v>63</v>
      </c>
      <c r="F53" s="5">
        <v>2821</v>
      </c>
      <c r="G53" s="5" t="s">
        <v>205</v>
      </c>
      <c r="H53" s="5" t="s">
        <v>204</v>
      </c>
      <c r="I53" s="10"/>
      <c r="J53" s="10"/>
      <c r="K53" s="10"/>
      <c r="L53" s="5"/>
      <c r="M53" s="14">
        <v>40483</v>
      </c>
      <c r="N53" s="14">
        <v>40848</v>
      </c>
      <c r="O53" s="14">
        <v>41943</v>
      </c>
      <c r="P53" s="14">
        <v>42399</v>
      </c>
      <c r="Q53" s="14">
        <v>42674</v>
      </c>
      <c r="R53" s="5"/>
    </row>
    <row r="54" spans="1:18">
      <c r="A54" s="5" t="s">
        <v>206</v>
      </c>
      <c r="B54" s="5" t="s">
        <v>203</v>
      </c>
      <c r="C54" s="5" t="s">
        <v>208</v>
      </c>
      <c r="D54" s="16" t="s">
        <v>209</v>
      </c>
      <c r="E54" s="10" t="s">
        <v>63</v>
      </c>
      <c r="F54" s="5">
        <v>1760</v>
      </c>
      <c r="G54" s="5" t="s">
        <v>211</v>
      </c>
      <c r="H54" s="5" t="s">
        <v>210</v>
      </c>
      <c r="I54" s="10"/>
      <c r="J54" s="10"/>
      <c r="K54" s="10"/>
      <c r="L54" s="5"/>
      <c r="M54" s="14">
        <v>38803</v>
      </c>
      <c r="N54" s="14">
        <v>39168</v>
      </c>
      <c r="O54" s="14">
        <v>40264</v>
      </c>
      <c r="P54" s="14">
        <v>40719</v>
      </c>
      <c r="Q54" s="14">
        <v>40993</v>
      </c>
      <c r="R54" s="5"/>
    </row>
    <row r="55" spans="1:18">
      <c r="A55" s="5" t="s">
        <v>206</v>
      </c>
      <c r="B55" s="5" t="s">
        <v>208</v>
      </c>
      <c r="C55" s="5" t="s">
        <v>214</v>
      </c>
      <c r="D55" s="16" t="s">
        <v>215</v>
      </c>
      <c r="E55" s="10" t="s">
        <v>63</v>
      </c>
      <c r="F55" s="5" t="s">
        <v>61</v>
      </c>
      <c r="G55" s="5" t="s">
        <v>213</v>
      </c>
      <c r="H55" s="5" t="s">
        <v>212</v>
      </c>
      <c r="I55" s="10"/>
      <c r="J55" s="10"/>
      <c r="K55" s="10">
        <v>2</v>
      </c>
      <c r="L55" s="5">
        <v>24</v>
      </c>
      <c r="M55" s="14">
        <v>38824</v>
      </c>
      <c r="N55" s="14">
        <v>39082</v>
      </c>
      <c r="O55" s="14">
        <v>39447</v>
      </c>
      <c r="P55" s="14">
        <v>40633</v>
      </c>
      <c r="Q55" s="14">
        <v>40907</v>
      </c>
      <c r="R55" s="5"/>
    </row>
    <row r="56" spans="1:18">
      <c r="A56" s="5" t="s">
        <v>206</v>
      </c>
      <c r="B56" s="5" t="s">
        <v>208</v>
      </c>
      <c r="C56" s="5" t="s">
        <v>219</v>
      </c>
      <c r="D56" s="16" t="s">
        <v>218</v>
      </c>
      <c r="E56" s="10" t="s">
        <v>63</v>
      </c>
      <c r="F56" s="5" t="s">
        <v>61</v>
      </c>
      <c r="G56" s="5" t="s">
        <v>217</v>
      </c>
      <c r="H56" s="5" t="s">
        <v>216</v>
      </c>
      <c r="I56" s="10"/>
      <c r="J56" s="10"/>
      <c r="K56" s="10">
        <v>2</v>
      </c>
      <c r="L56" s="5">
        <v>24</v>
      </c>
      <c r="M56" s="14">
        <v>38824</v>
      </c>
      <c r="N56" s="14">
        <v>39082</v>
      </c>
      <c r="O56" s="14">
        <v>39447</v>
      </c>
      <c r="P56" s="14">
        <v>40633</v>
      </c>
      <c r="Q56" s="14">
        <v>40907</v>
      </c>
      <c r="R56" s="5"/>
    </row>
    <row r="57" spans="1:18">
      <c r="A57" s="5" t="s">
        <v>206</v>
      </c>
      <c r="B57" s="5"/>
      <c r="C57" s="5" t="s">
        <v>241</v>
      </c>
      <c r="D57" s="16" t="s">
        <v>242</v>
      </c>
      <c r="E57" s="10" t="s">
        <v>63</v>
      </c>
      <c r="F57" s="5" t="s">
        <v>243</v>
      </c>
      <c r="G57" s="5" t="s">
        <v>244</v>
      </c>
      <c r="H57" s="5" t="s">
        <v>178</v>
      </c>
      <c r="I57" s="10"/>
      <c r="J57" s="10"/>
      <c r="K57" s="10">
        <v>1</v>
      </c>
      <c r="L57" s="5">
        <v>8</v>
      </c>
      <c r="M57" s="14">
        <v>39818</v>
      </c>
      <c r="N57" s="14">
        <v>40183</v>
      </c>
      <c r="O57" s="14">
        <v>40548</v>
      </c>
      <c r="P57" s="14">
        <v>41734</v>
      </c>
      <c r="Q57" s="14">
        <v>42008</v>
      </c>
      <c r="R57" s="5"/>
    </row>
    <row r="58" spans="1:18">
      <c r="A58" s="5" t="s">
        <v>207</v>
      </c>
      <c r="B58" s="5" t="s">
        <v>203</v>
      </c>
      <c r="C58" s="5" t="s">
        <v>233</v>
      </c>
      <c r="D58" s="16" t="s">
        <v>234</v>
      </c>
      <c r="E58" s="10" t="s">
        <v>63</v>
      </c>
      <c r="F58" s="5" t="s">
        <v>235</v>
      </c>
      <c r="G58" s="5" t="s">
        <v>237</v>
      </c>
      <c r="H58" s="5" t="s">
        <v>236</v>
      </c>
      <c r="I58" s="10"/>
      <c r="J58" s="10"/>
      <c r="K58" s="10"/>
      <c r="L58" s="5"/>
      <c r="M58" s="14">
        <v>38803</v>
      </c>
      <c r="N58" s="14">
        <v>39168</v>
      </c>
      <c r="O58" s="14">
        <v>40265</v>
      </c>
      <c r="P58" s="14">
        <v>40719</v>
      </c>
      <c r="Q58" s="14">
        <v>40993</v>
      </c>
      <c r="R58" s="5"/>
    </row>
    <row r="59" spans="1:18">
      <c r="A59" s="5" t="s">
        <v>207</v>
      </c>
      <c r="B59" s="5" t="s">
        <v>233</v>
      </c>
      <c r="C59" s="5" t="s">
        <v>239</v>
      </c>
      <c r="D59" s="16" t="s">
        <v>238</v>
      </c>
      <c r="E59" s="10" t="s">
        <v>63</v>
      </c>
      <c r="F59" s="5" t="s">
        <v>61</v>
      </c>
      <c r="G59" s="5" t="s">
        <v>240</v>
      </c>
      <c r="H59" s="5" t="s">
        <v>103</v>
      </c>
      <c r="I59" s="10"/>
      <c r="J59" s="10"/>
      <c r="K59" s="10">
        <v>2</v>
      </c>
      <c r="L59" s="5">
        <v>24</v>
      </c>
      <c r="M59" s="14">
        <v>38824</v>
      </c>
      <c r="N59" s="14">
        <v>39082</v>
      </c>
      <c r="O59" s="14">
        <v>39447</v>
      </c>
      <c r="P59" s="14">
        <v>40633</v>
      </c>
      <c r="Q59" s="14">
        <v>40907</v>
      </c>
      <c r="R59" s="5"/>
    </row>
    <row r="60" spans="1:18">
      <c r="A60" s="5" t="s">
        <v>146</v>
      </c>
      <c r="B60" s="5" t="s">
        <v>92</v>
      </c>
      <c r="C60" s="5" t="s">
        <v>222</v>
      </c>
      <c r="D60" s="16" t="s">
        <v>223</v>
      </c>
      <c r="E60" s="10" t="s">
        <v>63</v>
      </c>
      <c r="F60" s="5" t="s">
        <v>224</v>
      </c>
      <c r="G60" s="5" t="s">
        <v>225</v>
      </c>
      <c r="H60" s="5" t="s">
        <v>226</v>
      </c>
      <c r="I60" s="10" t="s">
        <v>245</v>
      </c>
      <c r="J60" s="10">
        <v>4</v>
      </c>
      <c r="K60" s="10">
        <v>48</v>
      </c>
      <c r="L60" s="5"/>
      <c r="M60" s="10" t="s">
        <v>63</v>
      </c>
      <c r="N60" s="10" t="s">
        <v>63</v>
      </c>
      <c r="O60" s="10" t="s">
        <v>63</v>
      </c>
      <c r="P60" s="10" t="s">
        <v>63</v>
      </c>
      <c r="Q60" s="10" t="s">
        <v>63</v>
      </c>
      <c r="R60" s="5"/>
    </row>
    <row r="61" spans="1:18">
      <c r="A61" s="5" t="s">
        <v>227</v>
      </c>
      <c r="B61" s="5" t="s">
        <v>86</v>
      </c>
      <c r="C61" s="5" t="s">
        <v>190</v>
      </c>
      <c r="D61" s="16" t="s">
        <v>228</v>
      </c>
      <c r="E61" s="10" t="s">
        <v>63</v>
      </c>
      <c r="F61" s="5" t="s">
        <v>231</v>
      </c>
      <c r="G61" s="5" t="s">
        <v>232</v>
      </c>
      <c r="H61" s="5" t="s">
        <v>229</v>
      </c>
      <c r="I61" s="10" t="s">
        <v>245</v>
      </c>
      <c r="J61" s="10">
        <v>2</v>
      </c>
      <c r="K61" s="10" t="s">
        <v>248</v>
      </c>
      <c r="L61" s="5"/>
      <c r="M61" s="10" t="s">
        <v>63</v>
      </c>
      <c r="N61" s="10" t="s">
        <v>63</v>
      </c>
      <c r="O61" s="10" t="s">
        <v>63</v>
      </c>
      <c r="P61" s="10" t="s">
        <v>63</v>
      </c>
      <c r="Q61" s="10" t="s">
        <v>63</v>
      </c>
      <c r="R61" s="5"/>
    </row>
    <row r="62" spans="1:18">
      <c r="A62" s="5" t="s">
        <v>220</v>
      </c>
      <c r="B62" s="5" t="s">
        <v>63</v>
      </c>
      <c r="C62" s="5" t="s">
        <v>230</v>
      </c>
      <c r="D62" s="16" t="s">
        <v>63</v>
      </c>
      <c r="E62" s="10" t="s">
        <v>63</v>
      </c>
      <c r="F62" s="5" t="s">
        <v>231</v>
      </c>
      <c r="G62" s="5"/>
      <c r="H62" s="5" t="s">
        <v>229</v>
      </c>
      <c r="I62" s="10" t="s">
        <v>245</v>
      </c>
      <c r="J62" s="10">
        <v>2</v>
      </c>
      <c r="K62" s="10" t="s">
        <v>248</v>
      </c>
      <c r="L62" s="5"/>
      <c r="M62" s="10" t="s">
        <v>63</v>
      </c>
      <c r="N62" s="10" t="s">
        <v>63</v>
      </c>
      <c r="O62" s="10" t="s">
        <v>63</v>
      </c>
      <c r="P62" s="10" t="s">
        <v>63</v>
      </c>
      <c r="Q62" s="10" t="s">
        <v>63</v>
      </c>
      <c r="R62" s="5"/>
    </row>
    <row r="63" spans="1:18">
      <c r="A63" s="7" t="s">
        <v>122</v>
      </c>
      <c r="B63" s="7" t="s">
        <v>92</v>
      </c>
      <c r="C63" s="7" t="s">
        <v>162</v>
      </c>
      <c r="D63" s="18"/>
      <c r="E63" s="11" t="s">
        <v>60</v>
      </c>
      <c r="F63" s="18" t="s">
        <v>163</v>
      </c>
      <c r="G63" s="18"/>
      <c r="H63" s="18"/>
      <c r="I63" s="11"/>
      <c r="J63" s="11"/>
      <c r="K63" s="11"/>
      <c r="L63" s="7"/>
      <c r="M63" s="11"/>
      <c r="N63" s="11"/>
      <c r="O63" s="11"/>
      <c r="P63" s="11"/>
      <c r="Q63" s="11"/>
      <c r="R63" s="7" t="s">
        <v>189</v>
      </c>
    </row>
  </sheetData>
  <conditionalFormatting sqref="M29:Q36 M38:Q63 M2:Q27 S29">
    <cfRule type="colorScale" priority="6">
      <colorScale>
        <cfvo type="min"/>
        <cfvo type="percentile" val="50"/>
        <cfvo type="max"/>
        <color rgb="FFF8696B"/>
        <color rgb="FFFFEB84"/>
        <color rgb="FF63BE7B"/>
      </colorScale>
    </cfRule>
  </conditionalFormatting>
  <conditionalFormatting sqref="M28:Q28">
    <cfRule type="colorScale" priority="5">
      <colorScale>
        <cfvo type="min"/>
        <cfvo type="percentile" val="50"/>
        <cfvo type="max"/>
        <color rgb="FFF8696B"/>
        <color rgb="FFFFEB84"/>
        <color rgb="FF63BE7B"/>
      </colorScale>
    </cfRule>
  </conditionalFormatting>
  <conditionalFormatting sqref="M38:Q277 M2:Q36 S29">
    <cfRule type="colorScale" priority="4">
      <colorScale>
        <cfvo type="min"/>
        <cfvo type="percentile" val="50"/>
        <cfvo type="max"/>
        <color rgb="FFF8696B"/>
        <color rgb="FFFFEB84"/>
        <color rgb="FF63BE7B"/>
      </colorScale>
    </cfRule>
  </conditionalFormatting>
  <conditionalFormatting sqref="M37:Q37">
    <cfRule type="colorScale" priority="3">
      <colorScale>
        <cfvo type="min"/>
        <cfvo type="percentile" val="50"/>
        <cfvo type="max"/>
        <color rgb="FFF8696B"/>
        <color rgb="FFFFEB84"/>
        <color rgb="FF63BE7B"/>
      </colorScale>
    </cfRule>
  </conditionalFormatting>
  <conditionalFormatting sqref="M37:Q37">
    <cfRule type="colorScale" priority="2">
      <colorScale>
        <cfvo type="min"/>
        <cfvo type="percentile" val="50"/>
        <cfvo type="max"/>
        <color rgb="FFF8696B"/>
        <color rgb="FFFFEB84"/>
        <color rgb="FF63BE7B"/>
      </colorScale>
    </cfRule>
  </conditionalFormatting>
  <conditionalFormatting sqref="M2:Q63 S29">
    <cfRule type="colorScale" priority="1">
      <colorScale>
        <cfvo type="min"/>
        <cfvo type="percentile" val="50"/>
        <cfvo type="max"/>
        <color rgb="FFF8696B"/>
        <color rgb="FFFFEB84"/>
        <color rgb="FF63BE7B"/>
      </colorScale>
    </cfRule>
  </conditionalFormatting>
  <pageMargins left="0.7" right="0.7" top="0.75" bottom="0.75" header="0.3" footer="0.3"/>
  <pageSetup scale="2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90" zoomScaleNormal="90" workbookViewId="0">
      <selection activeCell="M2" sqref="M2"/>
    </sheetView>
  </sheetViews>
  <sheetFormatPr defaultRowHeight="16.5"/>
  <cols>
    <col min="1" max="1" width="15.125" bestFit="1" customWidth="1"/>
    <col min="2" max="3" width="28.125" bestFit="1" customWidth="1"/>
    <col min="4" max="4" width="14.5" bestFit="1" customWidth="1"/>
    <col min="5" max="5" width="20.375" bestFit="1" customWidth="1"/>
    <col min="6" max="6" width="14.5" bestFit="1" customWidth="1"/>
    <col min="7" max="7" width="12.125" bestFit="1" customWidth="1"/>
    <col min="8" max="9" width="12.125" customWidth="1"/>
    <col min="10" max="14" width="10.125" bestFit="1" customWidth="1"/>
    <col min="15" max="15" width="34.375" bestFit="1" customWidth="1"/>
    <col min="16" max="16" width="20.875" customWidth="1"/>
  </cols>
  <sheetData>
    <row r="1" spans="1:16" ht="18" thickBot="1">
      <c r="A1" s="21" t="s">
        <v>0</v>
      </c>
      <c r="B1" s="22" t="s">
        <v>261</v>
      </c>
      <c r="C1" s="22" t="s">
        <v>56</v>
      </c>
      <c r="D1" s="22" t="s">
        <v>57</v>
      </c>
      <c r="E1" s="22" t="s">
        <v>1</v>
      </c>
      <c r="F1" s="22" t="s">
        <v>2</v>
      </c>
      <c r="G1" s="22" t="s">
        <v>9</v>
      </c>
      <c r="H1" s="22" t="s">
        <v>274</v>
      </c>
      <c r="I1" s="22" t="s">
        <v>276</v>
      </c>
      <c r="J1" s="23" t="s">
        <v>170</v>
      </c>
      <c r="K1" s="23" t="s">
        <v>171</v>
      </c>
      <c r="L1" s="23" t="s">
        <v>172</v>
      </c>
      <c r="M1" s="23" t="s">
        <v>173</v>
      </c>
      <c r="N1" s="23" t="s">
        <v>174</v>
      </c>
      <c r="O1" s="24" t="s">
        <v>169</v>
      </c>
      <c r="P1" s="19" t="s">
        <v>253</v>
      </c>
    </row>
    <row r="2" spans="1:16">
      <c r="A2" s="25" t="s">
        <v>6</v>
      </c>
      <c r="B2" s="26" t="s">
        <v>5</v>
      </c>
      <c r="C2" s="26" t="s">
        <v>262</v>
      </c>
      <c r="D2" s="26" t="s">
        <v>263</v>
      </c>
      <c r="E2" s="26" t="s">
        <v>264</v>
      </c>
      <c r="F2" s="26" t="s">
        <v>265</v>
      </c>
      <c r="G2" s="26" t="s">
        <v>266</v>
      </c>
      <c r="H2" s="26"/>
      <c r="I2" s="26"/>
      <c r="J2" s="27">
        <v>40525</v>
      </c>
      <c r="K2" s="27">
        <v>40707</v>
      </c>
      <c r="L2" s="27">
        <v>41802</v>
      </c>
      <c r="M2" s="27">
        <v>42255</v>
      </c>
      <c r="N2" s="27">
        <v>42551</v>
      </c>
      <c r="O2" s="26"/>
      <c r="P2" s="28"/>
    </row>
    <row r="3" spans="1:16">
      <c r="A3" s="29" t="s">
        <v>38</v>
      </c>
      <c r="B3" s="5" t="s">
        <v>82</v>
      </c>
      <c r="C3" s="5" t="s">
        <v>267</v>
      </c>
      <c r="D3" s="5" t="s">
        <v>268</v>
      </c>
      <c r="E3" s="5" t="s">
        <v>264</v>
      </c>
      <c r="F3" s="5" t="s">
        <v>269</v>
      </c>
      <c r="G3" s="5" t="s">
        <v>266</v>
      </c>
      <c r="H3" s="5"/>
      <c r="I3" s="5"/>
      <c r="J3" s="30">
        <v>40525</v>
      </c>
      <c r="K3" s="30">
        <v>40707</v>
      </c>
      <c r="L3" s="30">
        <v>41802</v>
      </c>
      <c r="M3" s="30">
        <v>42255</v>
      </c>
      <c r="N3" s="30">
        <v>42551</v>
      </c>
      <c r="O3" s="5"/>
      <c r="P3" s="31"/>
    </row>
    <row r="4" spans="1:16">
      <c r="A4" s="29" t="s">
        <v>273</v>
      </c>
      <c r="B4" s="5" t="s">
        <v>262</v>
      </c>
      <c r="C4" s="5" t="s">
        <v>272</v>
      </c>
      <c r="D4" s="5" t="s">
        <v>271</v>
      </c>
      <c r="E4" s="5" t="s">
        <v>270</v>
      </c>
      <c r="F4" s="5" t="s">
        <v>278</v>
      </c>
      <c r="G4" s="5" t="s">
        <v>266</v>
      </c>
      <c r="H4" s="5" t="s">
        <v>275</v>
      </c>
      <c r="I4" s="5" t="s">
        <v>277</v>
      </c>
      <c r="J4" s="30">
        <v>41153</v>
      </c>
      <c r="K4" s="30">
        <v>41243</v>
      </c>
      <c r="L4" s="30">
        <v>41700</v>
      </c>
      <c r="M4" s="30">
        <v>42883</v>
      </c>
      <c r="N4" s="30">
        <v>43190</v>
      </c>
      <c r="O4" s="5"/>
      <c r="P4" s="31"/>
    </row>
    <row r="5" spans="1:16">
      <c r="A5" s="29" t="s">
        <v>280</v>
      </c>
      <c r="B5" s="5" t="s">
        <v>262</v>
      </c>
      <c r="C5" s="5" t="s">
        <v>279</v>
      </c>
      <c r="D5" s="5" t="s">
        <v>281</v>
      </c>
      <c r="E5" s="5" t="s">
        <v>270</v>
      </c>
      <c r="F5" s="5" t="s">
        <v>282</v>
      </c>
      <c r="G5" s="5" t="s">
        <v>266</v>
      </c>
      <c r="H5" s="5" t="s">
        <v>275</v>
      </c>
      <c r="I5" s="5" t="s">
        <v>277</v>
      </c>
      <c r="J5" s="30">
        <v>41153</v>
      </c>
      <c r="K5" s="30">
        <v>41243</v>
      </c>
      <c r="L5" s="30">
        <v>41700</v>
      </c>
      <c r="M5" s="30">
        <v>42883</v>
      </c>
      <c r="N5" s="30">
        <v>43190</v>
      </c>
      <c r="O5" s="5"/>
      <c r="P5" s="31"/>
    </row>
    <row r="6" spans="1:16">
      <c r="A6" s="29" t="s">
        <v>304</v>
      </c>
      <c r="B6" s="5" t="s">
        <v>262</v>
      </c>
      <c r="C6" s="5" t="s">
        <v>283</v>
      </c>
      <c r="D6" s="5" t="s">
        <v>284</v>
      </c>
      <c r="E6" s="5" t="s">
        <v>286</v>
      </c>
      <c r="F6" s="5" t="s">
        <v>287</v>
      </c>
      <c r="G6" s="5" t="s">
        <v>266</v>
      </c>
      <c r="H6" s="5" t="s">
        <v>285</v>
      </c>
      <c r="I6" s="5" t="s">
        <v>277</v>
      </c>
      <c r="J6" s="30">
        <v>40756</v>
      </c>
      <c r="K6" s="30">
        <v>40938</v>
      </c>
      <c r="L6" s="30">
        <v>41668</v>
      </c>
      <c r="M6" s="30">
        <v>42486</v>
      </c>
      <c r="N6" s="30">
        <v>42766</v>
      </c>
      <c r="O6" s="5"/>
      <c r="P6" s="31"/>
    </row>
    <row r="7" spans="1:16">
      <c r="A7" s="29" t="s">
        <v>134</v>
      </c>
      <c r="B7" s="5" t="s">
        <v>262</v>
      </c>
      <c r="C7" s="5" t="s">
        <v>288</v>
      </c>
      <c r="D7" s="5" t="s">
        <v>289</v>
      </c>
      <c r="E7" s="5" t="s">
        <v>270</v>
      </c>
      <c r="F7" s="5" t="s">
        <v>290</v>
      </c>
      <c r="G7" s="5" t="s">
        <v>266</v>
      </c>
      <c r="H7" s="5" t="s">
        <v>275</v>
      </c>
      <c r="I7" s="5" t="s">
        <v>277</v>
      </c>
      <c r="J7" s="30">
        <v>41153</v>
      </c>
      <c r="K7" s="30">
        <v>41243</v>
      </c>
      <c r="L7" s="30">
        <v>41700</v>
      </c>
      <c r="M7" s="30">
        <v>42883</v>
      </c>
      <c r="N7" s="30">
        <v>43190</v>
      </c>
      <c r="O7" s="5"/>
      <c r="P7" s="31"/>
    </row>
    <row r="8" spans="1:16">
      <c r="A8" s="29" t="s">
        <v>305</v>
      </c>
      <c r="B8" s="5" t="s">
        <v>262</v>
      </c>
      <c r="C8" s="5" t="s">
        <v>291</v>
      </c>
      <c r="D8" s="5" t="s">
        <v>292</v>
      </c>
      <c r="E8" s="5" t="s">
        <v>286</v>
      </c>
      <c r="F8" s="5" t="s">
        <v>293</v>
      </c>
      <c r="G8" s="5" t="s">
        <v>266</v>
      </c>
      <c r="H8" s="5" t="s">
        <v>285</v>
      </c>
      <c r="I8" s="5" t="s">
        <v>277</v>
      </c>
      <c r="J8" s="30">
        <v>40756</v>
      </c>
      <c r="K8" s="30">
        <v>40938</v>
      </c>
      <c r="L8" s="30">
        <v>41668</v>
      </c>
      <c r="M8" s="30">
        <v>42486</v>
      </c>
      <c r="N8" s="30">
        <v>42766</v>
      </c>
      <c r="O8" s="5"/>
      <c r="P8" s="31"/>
    </row>
    <row r="9" spans="1:16">
      <c r="A9" s="29" t="s">
        <v>306</v>
      </c>
      <c r="B9" s="5" t="s">
        <v>262</v>
      </c>
      <c r="C9" s="5" t="s">
        <v>294</v>
      </c>
      <c r="D9" s="5" t="s">
        <v>295</v>
      </c>
      <c r="E9" s="5" t="s">
        <v>286</v>
      </c>
      <c r="F9" s="5" t="s">
        <v>296</v>
      </c>
      <c r="G9" s="5" t="s">
        <v>266</v>
      </c>
      <c r="H9" s="5" t="s">
        <v>285</v>
      </c>
      <c r="I9" s="5" t="s">
        <v>277</v>
      </c>
      <c r="J9" s="30">
        <v>40756</v>
      </c>
      <c r="K9" s="30">
        <v>40938</v>
      </c>
      <c r="L9" s="30">
        <v>41668</v>
      </c>
      <c r="M9" s="30">
        <v>42486</v>
      </c>
      <c r="N9" s="30">
        <v>42766</v>
      </c>
      <c r="O9" s="5"/>
      <c r="P9" s="31"/>
    </row>
    <row r="10" spans="1:16">
      <c r="A10" s="29" t="s">
        <v>307</v>
      </c>
      <c r="B10" s="5" t="s">
        <v>262</v>
      </c>
      <c r="C10" s="5" t="s">
        <v>297</v>
      </c>
      <c r="D10" s="5" t="s">
        <v>298</v>
      </c>
      <c r="E10" s="5" t="s">
        <v>286</v>
      </c>
      <c r="F10" s="5" t="s">
        <v>300</v>
      </c>
      <c r="G10" s="5" t="s">
        <v>266</v>
      </c>
      <c r="H10" s="5" t="s">
        <v>299</v>
      </c>
      <c r="I10" s="5" t="s">
        <v>277</v>
      </c>
      <c r="J10" s="30">
        <v>40756</v>
      </c>
      <c r="K10" s="30">
        <v>40938</v>
      </c>
      <c r="L10" s="30">
        <v>41668</v>
      </c>
      <c r="M10" s="30">
        <v>42486</v>
      </c>
      <c r="N10" s="30">
        <v>42766</v>
      </c>
      <c r="O10" s="5"/>
      <c r="P10" s="31"/>
    </row>
    <row r="11" spans="1:16">
      <c r="A11" s="29" t="s">
        <v>308</v>
      </c>
      <c r="B11" s="5" t="s">
        <v>262</v>
      </c>
      <c r="C11" s="5" t="s">
        <v>301</v>
      </c>
      <c r="D11" s="5" t="s">
        <v>302</v>
      </c>
      <c r="E11" s="5" t="s">
        <v>270</v>
      </c>
      <c r="F11" s="5" t="s">
        <v>303</v>
      </c>
      <c r="G11" s="5" t="s">
        <v>266</v>
      </c>
      <c r="H11" s="5" t="s">
        <v>275</v>
      </c>
      <c r="I11" s="5" t="s">
        <v>277</v>
      </c>
      <c r="J11" s="30">
        <v>41153</v>
      </c>
      <c r="K11" s="30">
        <v>41243</v>
      </c>
      <c r="L11" s="30">
        <v>41700</v>
      </c>
      <c r="M11" s="30">
        <v>42883</v>
      </c>
      <c r="N11" s="30">
        <v>43190</v>
      </c>
      <c r="O11" s="5"/>
      <c r="P11" s="31"/>
    </row>
    <row r="12" spans="1:16">
      <c r="A12" s="29" t="s">
        <v>138</v>
      </c>
      <c r="B12" s="5" t="s">
        <v>267</v>
      </c>
      <c r="C12" s="5" t="s">
        <v>309</v>
      </c>
      <c r="D12" s="5" t="s">
        <v>310</v>
      </c>
      <c r="E12" s="5" t="s">
        <v>286</v>
      </c>
      <c r="F12" s="5" t="s">
        <v>311</v>
      </c>
      <c r="G12" s="5" t="s">
        <v>266</v>
      </c>
      <c r="H12" s="5" t="s">
        <v>285</v>
      </c>
      <c r="I12" s="5" t="s">
        <v>277</v>
      </c>
      <c r="J12" s="30">
        <v>40756</v>
      </c>
      <c r="K12" s="30">
        <v>40938</v>
      </c>
      <c r="L12" s="30">
        <v>41668</v>
      </c>
      <c r="M12" s="30">
        <v>42486</v>
      </c>
      <c r="N12" s="30">
        <v>42766</v>
      </c>
      <c r="O12" s="5"/>
      <c r="P12" s="31"/>
    </row>
    <row r="13" spans="1:16">
      <c r="A13" s="29" t="s">
        <v>342</v>
      </c>
      <c r="B13" s="5" t="s">
        <v>267</v>
      </c>
      <c r="C13" s="5" t="s">
        <v>312</v>
      </c>
      <c r="D13" s="5" t="s">
        <v>313</v>
      </c>
      <c r="E13" s="5" t="s">
        <v>270</v>
      </c>
      <c r="F13" s="5" t="s">
        <v>314</v>
      </c>
      <c r="G13" s="5" t="s">
        <v>266</v>
      </c>
      <c r="H13" s="5" t="s">
        <v>275</v>
      </c>
      <c r="I13" s="5" t="s">
        <v>277</v>
      </c>
      <c r="J13" s="30">
        <v>41153</v>
      </c>
      <c r="K13" s="30">
        <v>41243</v>
      </c>
      <c r="L13" s="30">
        <v>41700</v>
      </c>
      <c r="M13" s="30">
        <v>42883</v>
      </c>
      <c r="N13" s="30">
        <v>43190</v>
      </c>
      <c r="O13" s="5"/>
      <c r="P13" s="31"/>
    </row>
    <row r="14" spans="1:16">
      <c r="A14" s="29" t="s">
        <v>343</v>
      </c>
      <c r="B14" s="5" t="s">
        <v>267</v>
      </c>
      <c r="C14" s="5" t="s">
        <v>315</v>
      </c>
      <c r="D14" s="5" t="s">
        <v>316</v>
      </c>
      <c r="E14" s="5" t="s">
        <v>270</v>
      </c>
      <c r="F14" s="5" t="s">
        <v>318</v>
      </c>
      <c r="G14" s="5" t="s">
        <v>266</v>
      </c>
      <c r="H14" s="5" t="s">
        <v>317</v>
      </c>
      <c r="I14" s="5" t="s">
        <v>277</v>
      </c>
      <c r="J14" s="30">
        <v>41153</v>
      </c>
      <c r="K14" s="30">
        <v>41243</v>
      </c>
      <c r="L14" s="30">
        <v>41700</v>
      </c>
      <c r="M14" s="30">
        <v>42883</v>
      </c>
      <c r="N14" s="30">
        <v>43190</v>
      </c>
      <c r="O14" s="5"/>
      <c r="P14" s="31"/>
    </row>
    <row r="15" spans="1:16">
      <c r="A15" s="29" t="s">
        <v>344</v>
      </c>
      <c r="B15" s="5" t="s">
        <v>267</v>
      </c>
      <c r="C15" s="5" t="s">
        <v>319</v>
      </c>
      <c r="D15" s="5" t="s">
        <v>320</v>
      </c>
      <c r="E15" s="5" t="s">
        <v>270</v>
      </c>
      <c r="F15" s="5" t="s">
        <v>321</v>
      </c>
      <c r="G15" s="5" t="s">
        <v>266</v>
      </c>
      <c r="H15" s="5" t="s">
        <v>275</v>
      </c>
      <c r="I15" s="5" t="s">
        <v>277</v>
      </c>
      <c r="J15" s="30">
        <v>41153</v>
      </c>
      <c r="K15" s="30">
        <v>41243</v>
      </c>
      <c r="L15" s="30">
        <v>41700</v>
      </c>
      <c r="M15" s="30">
        <v>42883</v>
      </c>
      <c r="N15" s="30">
        <v>43190</v>
      </c>
      <c r="O15" s="5"/>
      <c r="P15" s="31"/>
    </row>
    <row r="16" spans="1:16">
      <c r="A16" s="29" t="s">
        <v>345</v>
      </c>
      <c r="B16" s="5" t="s">
        <v>267</v>
      </c>
      <c r="C16" s="5" t="s">
        <v>322</v>
      </c>
      <c r="D16" s="5" t="s">
        <v>323</v>
      </c>
      <c r="E16" s="5" t="s">
        <v>325</v>
      </c>
      <c r="F16" s="5" t="s">
        <v>326</v>
      </c>
      <c r="G16" s="5" t="s">
        <v>266</v>
      </c>
      <c r="H16" s="5" t="s">
        <v>324</v>
      </c>
      <c r="I16" s="5" t="s">
        <v>277</v>
      </c>
      <c r="J16" s="5" t="s">
        <v>63</v>
      </c>
      <c r="K16" s="5" t="s">
        <v>63</v>
      </c>
      <c r="L16" s="5" t="s">
        <v>63</v>
      </c>
      <c r="M16" s="5" t="s">
        <v>63</v>
      </c>
      <c r="N16" s="5" t="s">
        <v>63</v>
      </c>
      <c r="O16" s="5"/>
      <c r="P16" s="31"/>
    </row>
    <row r="17" spans="1:16">
      <c r="A17" s="29" t="s">
        <v>304</v>
      </c>
      <c r="B17" s="5" t="s">
        <v>267</v>
      </c>
      <c r="C17" s="5" t="s">
        <v>327</v>
      </c>
      <c r="D17" s="5" t="s">
        <v>328</v>
      </c>
      <c r="E17" s="5" t="s">
        <v>286</v>
      </c>
      <c r="F17" s="5" t="s">
        <v>329</v>
      </c>
      <c r="G17" s="5" t="s">
        <v>266</v>
      </c>
      <c r="H17" s="5" t="s">
        <v>285</v>
      </c>
      <c r="I17" s="5" t="s">
        <v>277</v>
      </c>
      <c r="J17" s="30">
        <v>40756</v>
      </c>
      <c r="K17" s="30">
        <v>40938</v>
      </c>
      <c r="L17" s="30">
        <v>41668</v>
      </c>
      <c r="M17" s="30">
        <v>42486</v>
      </c>
      <c r="N17" s="30">
        <v>42766</v>
      </c>
      <c r="O17" s="5"/>
      <c r="P17" s="31"/>
    </row>
    <row r="18" spans="1:16">
      <c r="A18" s="29" t="s">
        <v>346</v>
      </c>
      <c r="B18" s="5" t="s">
        <v>267</v>
      </c>
      <c r="C18" s="5" t="s">
        <v>330</v>
      </c>
      <c r="D18" s="5" t="s">
        <v>331</v>
      </c>
      <c r="E18" s="5" t="s">
        <v>270</v>
      </c>
      <c r="F18" s="5" t="s">
        <v>332</v>
      </c>
      <c r="G18" s="5" t="s">
        <v>266</v>
      </c>
      <c r="H18" s="5" t="s">
        <v>275</v>
      </c>
      <c r="I18" s="5" t="s">
        <v>277</v>
      </c>
      <c r="J18" s="30">
        <v>41153</v>
      </c>
      <c r="K18" s="30">
        <v>41243</v>
      </c>
      <c r="L18" s="30">
        <v>41700</v>
      </c>
      <c r="M18" s="30">
        <v>42883</v>
      </c>
      <c r="N18" s="30">
        <v>43190</v>
      </c>
      <c r="O18" s="5"/>
      <c r="P18" s="31"/>
    </row>
    <row r="19" spans="1:16">
      <c r="A19" s="29" t="s">
        <v>154</v>
      </c>
      <c r="B19" s="5" t="s">
        <v>267</v>
      </c>
      <c r="C19" s="5" t="s">
        <v>333</v>
      </c>
      <c r="D19" s="5" t="s">
        <v>334</v>
      </c>
      <c r="E19" s="5" t="s">
        <v>286</v>
      </c>
      <c r="F19" s="5" t="s">
        <v>335</v>
      </c>
      <c r="G19" s="5" t="s">
        <v>266</v>
      </c>
      <c r="H19" s="5" t="s">
        <v>299</v>
      </c>
      <c r="I19" s="5" t="s">
        <v>277</v>
      </c>
      <c r="J19" s="30">
        <v>40756</v>
      </c>
      <c r="K19" s="30">
        <v>40938</v>
      </c>
      <c r="L19" s="30">
        <v>41668</v>
      </c>
      <c r="M19" s="30">
        <v>42486</v>
      </c>
      <c r="N19" s="30">
        <v>42766</v>
      </c>
      <c r="O19" s="5"/>
      <c r="P19" s="31"/>
    </row>
    <row r="20" spans="1:16">
      <c r="A20" s="29" t="s">
        <v>31</v>
      </c>
      <c r="B20" s="5" t="s">
        <v>267</v>
      </c>
      <c r="C20" s="5" t="s">
        <v>336</v>
      </c>
      <c r="D20" s="5" t="s">
        <v>337</v>
      </c>
      <c r="E20" s="5" t="s">
        <v>286</v>
      </c>
      <c r="F20" s="5" t="s">
        <v>338</v>
      </c>
      <c r="G20" s="5" t="s">
        <v>266</v>
      </c>
      <c r="H20" s="5" t="s">
        <v>299</v>
      </c>
      <c r="I20" s="5" t="s">
        <v>277</v>
      </c>
      <c r="J20" s="30">
        <v>40756</v>
      </c>
      <c r="K20" s="30">
        <v>40938</v>
      </c>
      <c r="L20" s="30">
        <v>41668</v>
      </c>
      <c r="M20" s="30">
        <v>42486</v>
      </c>
      <c r="N20" s="30">
        <v>42766</v>
      </c>
      <c r="O20" s="5"/>
      <c r="P20" s="31"/>
    </row>
    <row r="21" spans="1:16">
      <c r="A21" s="29" t="s">
        <v>347</v>
      </c>
      <c r="B21" s="5" t="s">
        <v>267</v>
      </c>
      <c r="C21" s="5" t="s">
        <v>339</v>
      </c>
      <c r="D21" s="5" t="s">
        <v>340</v>
      </c>
      <c r="E21" s="5" t="s">
        <v>286</v>
      </c>
      <c r="F21" s="5" t="s">
        <v>341</v>
      </c>
      <c r="G21" s="5" t="s">
        <v>266</v>
      </c>
      <c r="H21" s="5" t="s">
        <v>299</v>
      </c>
      <c r="I21" s="5" t="s">
        <v>277</v>
      </c>
      <c r="J21" s="30">
        <v>40756</v>
      </c>
      <c r="K21" s="30">
        <v>40938</v>
      </c>
      <c r="L21" s="30">
        <v>41668</v>
      </c>
      <c r="M21" s="30">
        <v>42486</v>
      </c>
      <c r="N21" s="30">
        <v>42766</v>
      </c>
      <c r="O21" s="5"/>
      <c r="P21" s="31"/>
    </row>
    <row r="22" spans="1:16" ht="17.25" thickBot="1">
      <c r="A22" s="32" t="s">
        <v>6</v>
      </c>
      <c r="B22" s="33" t="s">
        <v>5</v>
      </c>
      <c r="C22" s="33" t="s">
        <v>348</v>
      </c>
      <c r="D22" s="33" t="s">
        <v>348</v>
      </c>
      <c r="E22" s="33" t="s">
        <v>349</v>
      </c>
      <c r="F22" s="33" t="s">
        <v>350</v>
      </c>
      <c r="G22" s="33" t="s">
        <v>348</v>
      </c>
      <c r="H22" s="33" t="s">
        <v>348</v>
      </c>
      <c r="I22" s="33" t="s">
        <v>348</v>
      </c>
      <c r="J22" s="33" t="s">
        <v>63</v>
      </c>
      <c r="K22" s="33" t="s">
        <v>63</v>
      </c>
      <c r="L22" s="33" t="s">
        <v>63</v>
      </c>
      <c r="M22" s="33" t="s">
        <v>63</v>
      </c>
      <c r="N22" s="33" t="s">
        <v>63</v>
      </c>
      <c r="O22" s="33"/>
      <c r="P22" s="34"/>
    </row>
  </sheetData>
  <conditionalFormatting sqref="J2:N22">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Summary Estimate</vt:lpstr>
      <vt:lpstr>MSU 4 Campus Cost Sharing</vt:lpstr>
      <vt:lpstr>Hardware Maintenance Summary</vt:lpstr>
      <vt:lpstr>Software Licensing</vt:lpstr>
      <vt:lpstr>Comuter Classrooms</vt:lpstr>
      <vt:lpstr>FacultyStaff Computer Schedule</vt:lpstr>
      <vt:lpstr>Servers</vt:lpstr>
      <vt:lpstr>Routers And Switches</vt:lpstr>
      <vt:lpstr>Wireless</vt:lpstr>
      <vt:lpstr>Smartnet Detailed</vt:lpstr>
      <vt:lpstr>MS Campus Agreement Detailed</vt:lpstr>
      <vt:lpstr>Chargeback Models</vt:lpstr>
      <vt:lpstr>Network &amp; Wireless Upgrade EST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Frisbee</dc:creator>
  <cp:lastModifiedBy>Jeri Pullum</cp:lastModifiedBy>
  <cp:lastPrinted>2012-11-08T18:26:26Z</cp:lastPrinted>
  <dcterms:created xsi:type="dcterms:W3CDTF">2012-11-07T19:47:01Z</dcterms:created>
  <dcterms:modified xsi:type="dcterms:W3CDTF">2014-10-28T19:21:02Z</dcterms:modified>
</cp:coreProperties>
</file>